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o\Downloads\"/>
    </mc:Choice>
  </mc:AlternateContent>
  <xr:revisionPtr revIDLastSave="0" documentId="13_ncr:1_{D09C49E0-5984-4CEA-A903-EAE75319217E}" xr6:coauthVersionLast="47" xr6:coauthVersionMax="47" xr10:uidLastSave="{00000000-0000-0000-0000-000000000000}"/>
  <bookViews>
    <workbookView xWindow="-110" yWindow="-110" windowWidth="19420" windowHeight="11500" tabRatio="500" activeTab="2" xr2:uid="{00000000-000D-0000-FFFF-FFFF00000000}"/>
  </bookViews>
  <sheets>
    <sheet name="IPA III 2024-2027 Actions" sheetId="3" state="hidden" r:id="rId1"/>
    <sheet name="AF" sheetId="4" state="hidden" r:id="rId2"/>
    <sheet name="SOP without reserve projects" sheetId="6" r:id="rId3"/>
    <sheet name="OP Finacial Table" sheetId="7" r:id="rId4"/>
  </sheets>
  <definedNames>
    <definedName name="_xlnm.Print_Area" localSheetId="1">AF!$A$1:$H$14</definedName>
    <definedName name="_xlnm.Print_Area" localSheetId="0">'IPA III 2024-2027 Actions'!$A$1:$J$37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19" i="6" l="1"/>
  <c r="Z19" i="6"/>
  <c r="Y19" i="6"/>
  <c r="AB9" i="6" l="1"/>
  <c r="AA9" i="6"/>
  <c r="Z9" i="6"/>
  <c r="Y9" i="6"/>
  <c r="AB7" i="6"/>
  <c r="AA7" i="6"/>
  <c r="Z7" i="6"/>
  <c r="Y7" i="6"/>
  <c r="AW21" i="6"/>
  <c r="AX21" i="6"/>
  <c r="AY21" i="6"/>
  <c r="AZ21" i="6"/>
  <c r="AN13" i="6"/>
  <c r="AM13" i="6"/>
  <c r="AL13" i="6"/>
  <c r="AK13" i="6"/>
  <c r="W18" i="6"/>
  <c r="X18" i="6"/>
  <c r="Q18" i="6"/>
  <c r="L18" i="6"/>
  <c r="AB21" i="6"/>
  <c r="AA21" i="6"/>
  <c r="Z21" i="6"/>
  <c r="Y21" i="6"/>
  <c r="M21" i="6"/>
  <c r="O21" i="6" s="1"/>
  <c r="P21" i="6" s="1"/>
  <c r="S7" i="6"/>
  <c r="T7" i="6"/>
  <c r="U7" i="6"/>
  <c r="V7" i="6"/>
  <c r="Q20" i="6"/>
  <c r="Y20" i="6" s="1"/>
  <c r="R20" i="6"/>
  <c r="R18" i="6" s="1"/>
  <c r="S20" i="6"/>
  <c r="Z20" i="6" s="1"/>
  <c r="S16" i="6"/>
  <c r="S9" i="6"/>
  <c r="W10" i="6"/>
  <c r="X10" i="6"/>
  <c r="AY11" i="6"/>
  <c r="AB14" i="6"/>
  <c r="AA14" i="6"/>
  <c r="Y15" i="6"/>
  <c r="AB13" i="6"/>
  <c r="AA13" i="6"/>
  <c r="Z13" i="6"/>
  <c r="Y12" i="6"/>
  <c r="AB11" i="6"/>
  <c r="AA11" i="6"/>
  <c r="Z11" i="6"/>
  <c r="AB16" i="6"/>
  <c r="AA16" i="6"/>
  <c r="Z16" i="6"/>
  <c r="AZ17" i="6"/>
  <c r="AY17" i="6"/>
  <c r="AX17" i="6"/>
  <c r="AW17" i="6"/>
  <c r="AN17" i="6"/>
  <c r="AM17" i="6"/>
  <c r="AL17" i="6"/>
  <c r="AK17" i="6"/>
  <c r="AB17" i="6"/>
  <c r="AA17" i="6"/>
  <c r="Z17" i="6"/>
  <c r="Y17" i="6"/>
  <c r="X6" i="6"/>
  <c r="Q6" i="6"/>
  <c r="N21" i="6" l="1"/>
  <c r="L10" i="6"/>
  <c r="N17" i="6"/>
  <c r="O17" i="6"/>
  <c r="P17" i="6" s="1"/>
  <c r="N16" i="6"/>
  <c r="AJ16" i="6" s="1"/>
  <c r="O16" i="6"/>
  <c r="P16" i="6" s="1"/>
  <c r="R16" i="6"/>
  <c r="Y16" i="6" s="1"/>
  <c r="V8" i="6"/>
  <c r="U8" i="6"/>
  <c r="W8" i="6"/>
  <c r="S6" i="6"/>
  <c r="M20" i="6"/>
  <c r="M7" i="6"/>
  <c r="N7" i="6" s="1"/>
  <c r="M11" i="6"/>
  <c r="M12" i="6"/>
  <c r="M13" i="6"/>
  <c r="M14" i="6"/>
  <c r="M15" i="6"/>
  <c r="M8" i="6"/>
  <c r="Z8" i="6"/>
  <c r="Y8" i="6"/>
  <c r="R9" i="6"/>
  <c r="M19" i="6"/>
  <c r="M18" i="6" l="1"/>
  <c r="O11" i="6"/>
  <c r="M10" i="6"/>
  <c r="U6" i="6"/>
  <c r="W6" i="6"/>
  <c r="V6" i="6"/>
  <c r="Z6" i="6"/>
  <c r="T6" i="6"/>
  <c r="AD16" i="6"/>
  <c r="AI16" i="6"/>
  <c r="AH16" i="6"/>
  <c r="AN16" i="6" s="1"/>
  <c r="AQ16" i="6"/>
  <c r="AS16" i="6"/>
  <c r="AV16" i="6"/>
  <c r="AT16" i="6"/>
  <c r="AU16" i="6"/>
  <c r="AO16" i="6"/>
  <c r="AP16" i="6"/>
  <c r="AG16" i="6"/>
  <c r="AM16" i="6" s="1"/>
  <c r="AE16" i="6"/>
  <c r="AF16" i="6"/>
  <c r="AC16" i="6"/>
  <c r="AR16" i="6"/>
  <c r="L6" i="6"/>
  <c r="AW16" i="6" l="1"/>
  <c r="AY16" i="6"/>
  <c r="AL16" i="6"/>
  <c r="AK16" i="6"/>
  <c r="AX16" i="6"/>
  <c r="AZ16" i="6"/>
  <c r="M6" i="6"/>
  <c r="N20" i="6"/>
  <c r="N6" i="6" l="1"/>
  <c r="M22" i="6"/>
  <c r="O9" i="6"/>
  <c r="P9" i="6" s="1"/>
  <c r="N9" i="6"/>
  <c r="AJ9" i="6" l="1"/>
  <c r="AI9" i="6"/>
  <c r="AH9" i="6"/>
  <c r="AC9" i="6"/>
  <c r="AG9" i="6"/>
  <c r="AM9" i="6" s="1"/>
  <c r="AD9" i="6"/>
  <c r="AE9" i="6"/>
  <c r="AF9" i="6"/>
  <c r="AL9" i="6" s="1"/>
  <c r="AV9" i="6"/>
  <c r="AS9" i="6"/>
  <c r="AO9" i="6"/>
  <c r="AT9" i="6"/>
  <c r="AU9" i="6"/>
  <c r="AQ9" i="6"/>
  <c r="AP9" i="6"/>
  <c r="AR9" i="6"/>
  <c r="AK9" i="6" l="1"/>
  <c r="AW9" i="6"/>
  <c r="AY9" i="6"/>
  <c r="AZ9" i="6"/>
  <c r="AX9" i="6"/>
  <c r="AN9" i="6"/>
  <c r="AB8" i="6"/>
  <c r="AB6" i="6" s="1"/>
  <c r="AA8" i="6"/>
  <c r="AA6" i="6" s="1"/>
  <c r="T20" i="6" l="1"/>
  <c r="AA20" i="6" s="1"/>
  <c r="U20" i="6"/>
  <c r="AB20" i="6" s="1"/>
  <c r="T14" i="6"/>
  <c r="Z14" i="6" s="1"/>
  <c r="V15" i="6"/>
  <c r="U15" i="6"/>
  <c r="AA15" i="6" s="1"/>
  <c r="T15" i="6"/>
  <c r="Z15" i="6" s="1"/>
  <c r="U12" i="6"/>
  <c r="U10" i="6" s="1"/>
  <c r="T12" i="6"/>
  <c r="T10" i="6" s="1"/>
  <c r="S12" i="6"/>
  <c r="Q11" i="6"/>
  <c r="AB19" i="6" l="1"/>
  <c r="AB18" i="6" s="1"/>
  <c r="V18" i="6"/>
  <c r="AB15" i="6"/>
  <c r="V10" i="6"/>
  <c r="Q10" i="6"/>
  <c r="Y11" i="6"/>
  <c r="AB12" i="6"/>
  <c r="AB10" i="6" s="1"/>
  <c r="AA12" i="6"/>
  <c r="AA10" i="6" s="1"/>
  <c r="Z12" i="6"/>
  <c r="Z10" i="6" s="1"/>
  <c r="R7" i="6"/>
  <c r="R6" i="6" s="1"/>
  <c r="N11" i="6"/>
  <c r="N15" i="6"/>
  <c r="AC15" i="6" s="1"/>
  <c r="N12" i="6"/>
  <c r="AG12" i="6" s="1"/>
  <c r="N14" i="6"/>
  <c r="P19" i="6"/>
  <c r="AU19" i="6" s="1"/>
  <c r="N13" i="6"/>
  <c r="N8" i="6"/>
  <c r="S13" i="6"/>
  <c r="R13" i="6"/>
  <c r="R10" i="6" l="1"/>
  <c r="Y13" i="6"/>
  <c r="Y6" i="6"/>
  <c r="AH8" i="6"/>
  <c r="AG8" i="6"/>
  <c r="AF8" i="6"/>
  <c r="AM8" i="6" s="1"/>
  <c r="AE8" i="6"/>
  <c r="AL8" i="6" s="1"/>
  <c r="AD8" i="6"/>
  <c r="AC8" i="6"/>
  <c r="AD14" i="6"/>
  <c r="AH14" i="6"/>
  <c r="AC14" i="6"/>
  <c r="AI14" i="6"/>
  <c r="AG14" i="6"/>
  <c r="AM14" i="6" s="1"/>
  <c r="AJ14" i="6"/>
  <c r="AT19" i="6"/>
  <c r="AF14" i="6"/>
  <c r="AL14" i="6" s="1"/>
  <c r="AJ8" i="6"/>
  <c r="AI8" i="6"/>
  <c r="AF11" i="6"/>
  <c r="AI11" i="6"/>
  <c r="AJ11" i="6"/>
  <c r="AH11" i="6"/>
  <c r="AC11" i="6"/>
  <c r="AD13" i="6"/>
  <c r="AE12" i="6"/>
  <c r="AF12" i="6"/>
  <c r="AM12" i="6" s="1"/>
  <c r="AH13" i="6"/>
  <c r="AG13" i="6"/>
  <c r="AC13" i="6"/>
  <c r="AI13" i="6"/>
  <c r="AF13" i="6"/>
  <c r="AJ13" i="6"/>
  <c r="AE13" i="6"/>
  <c r="AD12" i="6"/>
  <c r="AC12" i="6"/>
  <c r="AP19" i="6"/>
  <c r="AV19" i="6"/>
  <c r="AO19" i="6"/>
  <c r="AE20" i="6"/>
  <c r="AI20" i="6"/>
  <c r="AH20" i="6"/>
  <c r="AF20" i="6"/>
  <c r="AL20" i="6" s="1"/>
  <c r="AJ20" i="6"/>
  <c r="AG20" i="6"/>
  <c r="AM20" i="6" s="1"/>
  <c r="AD20" i="6"/>
  <c r="AD15" i="6"/>
  <c r="AH15" i="6"/>
  <c r="AJ15" i="6"/>
  <c r="AG15" i="6"/>
  <c r="AM15" i="6" s="1"/>
  <c r="AE15" i="6"/>
  <c r="AI15" i="6"/>
  <c r="AF15" i="6"/>
  <c r="AL15" i="6" s="1"/>
  <c r="AH12" i="6"/>
  <c r="AI12" i="6"/>
  <c r="AJ12" i="6"/>
  <c r="N19" i="6"/>
  <c r="S14" i="6"/>
  <c r="Y14" i="6" s="1"/>
  <c r="O14" i="6"/>
  <c r="AA19" i="6" l="1"/>
  <c r="AA18" i="6" s="1"/>
  <c r="U18" i="6"/>
  <c r="Z18" i="6"/>
  <c r="T18" i="6"/>
  <c r="Y18" i="6"/>
  <c r="S18" i="6"/>
  <c r="AH21" i="6"/>
  <c r="AF21" i="6"/>
  <c r="AM21" i="6" s="1"/>
  <c r="AJ21" i="6"/>
  <c r="AI21" i="6"/>
  <c r="AG21" i="6"/>
  <c r="AL21" i="6"/>
  <c r="Y10" i="6"/>
  <c r="AD10" i="6"/>
  <c r="AC10" i="6"/>
  <c r="AK15" i="6"/>
  <c r="AN14" i="6"/>
  <c r="AN15" i="6"/>
  <c r="AJ10" i="6"/>
  <c r="AN11" i="6"/>
  <c r="AN10" i="6" s="1"/>
  <c r="L5" i="7" s="1"/>
  <c r="AH10" i="6"/>
  <c r="AI10" i="6"/>
  <c r="S10" i="6"/>
  <c r="AL11" i="6"/>
  <c r="AF10" i="6"/>
  <c r="AK11" i="6"/>
  <c r="AG10" i="6"/>
  <c r="AM11" i="6"/>
  <c r="AM10" i="6" s="1"/>
  <c r="I5" i="7" s="1"/>
  <c r="AN20" i="6"/>
  <c r="AL12" i="6"/>
  <c r="AK12" i="6"/>
  <c r="AE14" i="6"/>
  <c r="AE10" i="6" s="1"/>
  <c r="AK8" i="6"/>
  <c r="AN8" i="6"/>
  <c r="AN12" i="6"/>
  <c r="AC20" i="6"/>
  <c r="AK20" i="6" s="1"/>
  <c r="AS19" i="6"/>
  <c r="AG19" i="6"/>
  <c r="AQ19" i="6"/>
  <c r="AE19" i="6"/>
  <c r="AE18" i="6" s="1"/>
  <c r="AD19" i="6"/>
  <c r="AD18" i="6" s="1"/>
  <c r="AC19" i="6"/>
  <c r="AH19" i="6"/>
  <c r="AH18" i="6" s="1"/>
  <c r="AI19" i="6"/>
  <c r="AI18" i="6" s="1"/>
  <c r="AR19" i="6"/>
  <c r="AF19" i="6"/>
  <c r="AW19" i="6"/>
  <c r="P14" i="6"/>
  <c r="O20" i="6"/>
  <c r="O18" i="6" s="1"/>
  <c r="O15" i="6"/>
  <c r="O13" i="6"/>
  <c r="O12" i="6"/>
  <c r="O8" i="6"/>
  <c r="F6" i="6"/>
  <c r="AJ18" i="6" l="1"/>
  <c r="AG18" i="6"/>
  <c r="AL19" i="6"/>
  <c r="AL18" i="6" s="1"/>
  <c r="F6" i="7" s="1"/>
  <c r="AF18" i="6"/>
  <c r="AK21" i="6"/>
  <c r="AC18" i="6"/>
  <c r="AN21" i="6"/>
  <c r="AK14" i="6"/>
  <c r="AK10" i="6" s="1"/>
  <c r="C5" i="7" s="1"/>
  <c r="AL10" i="6"/>
  <c r="F5" i="7" s="1"/>
  <c r="O10" i="6"/>
  <c r="AN19" i="6"/>
  <c r="AM19" i="6"/>
  <c r="AK19" i="6"/>
  <c r="N18" i="6"/>
  <c r="AP14" i="6"/>
  <c r="AT14" i="6"/>
  <c r="AO14" i="6"/>
  <c r="AU14" i="6"/>
  <c r="AS14" i="6"/>
  <c r="AY14" i="6" s="1"/>
  <c r="AV14" i="6"/>
  <c r="AR14" i="6"/>
  <c r="AX14" i="6" s="1"/>
  <c r="AQ14" i="6"/>
  <c r="AY19" i="6"/>
  <c r="AZ19" i="6"/>
  <c r="AX19" i="6"/>
  <c r="P20" i="6"/>
  <c r="P15" i="6"/>
  <c r="P13" i="6"/>
  <c r="P12" i="6"/>
  <c r="AP12" i="6" s="1"/>
  <c r="P8" i="6"/>
  <c r="Q22" i="6"/>
  <c r="T22" i="6"/>
  <c r="R22" i="6"/>
  <c r="X22" i="6"/>
  <c r="U22" i="6"/>
  <c r="AA22" i="6"/>
  <c r="Z22" i="6"/>
  <c r="S22" i="6"/>
  <c r="Y22" i="6"/>
  <c r="V22" i="6"/>
  <c r="AK18" i="6" l="1"/>
  <c r="C6" i="7" s="1"/>
  <c r="AM18" i="6"/>
  <c r="I6" i="7" s="1"/>
  <c r="AN18" i="6"/>
  <c r="L6" i="7" s="1"/>
  <c r="O5" i="7"/>
  <c r="AW14" i="6"/>
  <c r="AZ14" i="6"/>
  <c r="AV8" i="6"/>
  <c r="AQ8" i="6"/>
  <c r="AX8" i="6" s="1"/>
  <c r="AU8" i="6"/>
  <c r="AP8" i="6"/>
  <c r="AO8" i="6"/>
  <c r="AT8" i="6"/>
  <c r="AS8" i="6"/>
  <c r="AR8" i="6"/>
  <c r="AY8" i="6" s="1"/>
  <c r="AU13" i="6"/>
  <c r="AT13" i="6"/>
  <c r="AR13" i="6"/>
  <c r="AX13" i="6" s="1"/>
  <c r="AV13" i="6"/>
  <c r="AS13" i="6"/>
  <c r="AY13" i="6" s="1"/>
  <c r="AO13" i="6"/>
  <c r="AQ13" i="6"/>
  <c r="AP13" i="6"/>
  <c r="AT20" i="6"/>
  <c r="AT18" i="6" s="1"/>
  <c r="AV20" i="6"/>
  <c r="AV18" i="6" s="1"/>
  <c r="AU20" i="6"/>
  <c r="AU18" i="6" s="1"/>
  <c r="AS20" i="6"/>
  <c r="AP20" i="6"/>
  <c r="AP18" i="6" s="1"/>
  <c r="AQ20" i="6"/>
  <c r="AQ18" i="6" s="1"/>
  <c r="AR20" i="6"/>
  <c r="AO20" i="6"/>
  <c r="AO18" i="6" s="1"/>
  <c r="AQ12" i="6"/>
  <c r="AT12" i="6"/>
  <c r="AV12" i="6"/>
  <c r="AR12" i="6"/>
  <c r="AU12" i="6"/>
  <c r="AO12" i="6"/>
  <c r="AS12" i="6"/>
  <c r="AQ15" i="6"/>
  <c r="AU15" i="6"/>
  <c r="AR15" i="6"/>
  <c r="AX15" i="6" s="1"/>
  <c r="AV15" i="6"/>
  <c r="AS15" i="6"/>
  <c r="AY15" i="6" s="1"/>
  <c r="AP15" i="6"/>
  <c r="AT15" i="6"/>
  <c r="AO15" i="6"/>
  <c r="P18" i="6"/>
  <c r="P11" i="6"/>
  <c r="C15" i="3"/>
  <c r="C16" i="3" s="1"/>
  <c r="AX20" i="6" l="1"/>
  <c r="AR18" i="6"/>
  <c r="AY20" i="6"/>
  <c r="AS18" i="6"/>
  <c r="O6" i="7"/>
  <c r="AW13" i="6"/>
  <c r="AS10" i="6"/>
  <c r="AO10" i="6"/>
  <c r="AW12" i="6"/>
  <c r="AZ13" i="6"/>
  <c r="AW15" i="6"/>
  <c r="AZ15" i="6"/>
  <c r="AW20" i="6"/>
  <c r="AZ20" i="6"/>
  <c r="AX12" i="6"/>
  <c r="AY12" i="6"/>
  <c r="AY10" i="6" s="1"/>
  <c r="J5" i="7" s="1"/>
  <c r="K5" i="7" s="1"/>
  <c r="AZ8" i="6"/>
  <c r="AV11" i="6"/>
  <c r="AV10" i="6" s="1"/>
  <c r="AT11" i="6"/>
  <c r="AU11" i="6"/>
  <c r="AU10" i="6" s="1"/>
  <c r="AQ10" i="6"/>
  <c r="AW8" i="6"/>
  <c r="AZ12" i="6"/>
  <c r="E19" i="4"/>
  <c r="F19" i="4"/>
  <c r="G19" i="4"/>
  <c r="E20" i="4"/>
  <c r="F20" i="4"/>
  <c r="G20" i="4"/>
  <c r="E21" i="4"/>
  <c r="F21" i="4"/>
  <c r="G21" i="4"/>
  <c r="E22" i="4"/>
  <c r="F22" i="4"/>
  <c r="G22" i="4"/>
  <c r="F18" i="4"/>
  <c r="G18" i="4"/>
  <c r="E18" i="4"/>
  <c r="F17" i="3"/>
  <c r="D11" i="4" s="1"/>
  <c r="B11" i="4" s="1"/>
  <c r="G12" i="4"/>
  <c r="F12" i="4"/>
  <c r="E12" i="4"/>
  <c r="D10" i="4"/>
  <c r="C10" i="4"/>
  <c r="H10" i="4" s="1"/>
  <c r="H22" i="4" s="1"/>
  <c r="D9" i="4"/>
  <c r="C9" i="4"/>
  <c r="H9" i="4" s="1"/>
  <c r="H21" i="4" s="1"/>
  <c r="D8" i="4"/>
  <c r="C8" i="4"/>
  <c r="H8" i="4" s="1"/>
  <c r="H20" i="4" s="1"/>
  <c r="D7" i="4"/>
  <c r="C7" i="4"/>
  <c r="D6" i="4"/>
  <c r="C6" i="4"/>
  <c r="H6" i="4" s="1"/>
  <c r="G18" i="3"/>
  <c r="H18" i="3"/>
  <c r="I18" i="3"/>
  <c r="F15" i="3"/>
  <c r="E15" i="3"/>
  <c r="J15" i="3" s="1"/>
  <c r="F10" i="3"/>
  <c r="E10" i="3"/>
  <c r="J10" i="3" s="1"/>
  <c r="F8" i="3"/>
  <c r="E8" i="3"/>
  <c r="J8" i="3" s="1"/>
  <c r="F6" i="3"/>
  <c r="E6" i="3"/>
  <c r="J6" i="3" s="1"/>
  <c r="J17" i="3"/>
  <c r="D18" i="3"/>
  <c r="H11" i="4"/>
  <c r="AZ18" i="6" l="1"/>
  <c r="M6" i="7" s="1"/>
  <c r="N6" i="7" s="1"/>
  <c r="AW18" i="6"/>
  <c r="D6" i="7" s="1"/>
  <c r="E6" i="7" s="1"/>
  <c r="AY18" i="6"/>
  <c r="J6" i="7" s="1"/>
  <c r="K6" i="7" s="1"/>
  <c r="AX18" i="6"/>
  <c r="G6" i="7" s="1"/>
  <c r="H6" i="7" s="1"/>
  <c r="AT10" i="6"/>
  <c r="AZ11" i="6"/>
  <c r="AZ10" i="6" s="1"/>
  <c r="M5" i="7" s="1"/>
  <c r="N5" i="7" s="1"/>
  <c r="AW11" i="6"/>
  <c r="AW10" i="6" s="1"/>
  <c r="D5" i="7" s="1"/>
  <c r="AP10" i="6"/>
  <c r="AX11" i="6"/>
  <c r="AX10" i="6" s="1"/>
  <c r="G5" i="7" s="1"/>
  <c r="AR10" i="6"/>
  <c r="C12" i="4"/>
  <c r="H7" i="4"/>
  <c r="H19" i="4" s="1"/>
  <c r="F18" i="3"/>
  <c r="D12" i="4"/>
  <c r="E18" i="3"/>
  <c r="E22" i="3" s="1"/>
  <c r="K5" i="4"/>
  <c r="B12" i="4"/>
  <c r="J18" i="3"/>
  <c r="H18" i="4"/>
  <c r="H12" i="4"/>
  <c r="P6" i="7" l="1"/>
  <c r="Q6" i="7" s="1"/>
  <c r="P5" i="7"/>
  <c r="H5" i="7"/>
  <c r="E5" i="7"/>
  <c r="F23" i="4"/>
  <c r="F24" i="4" s="1"/>
  <c r="G23" i="4"/>
  <c r="G24" i="4" s="1"/>
  <c r="E23" i="4"/>
  <c r="E24" i="4" s="1"/>
  <c r="H23" i="4"/>
  <c r="H24" i="4" s="1"/>
  <c r="O7" i="6"/>
  <c r="O6" i="6" s="1"/>
  <c r="Q5" i="7" l="1"/>
  <c r="AJ7" i="6"/>
  <c r="AJ6" i="6" s="1"/>
  <c r="AC7" i="6"/>
  <c r="AC6" i="6" s="1"/>
  <c r="AD7" i="6"/>
  <c r="AD6" i="6" s="1"/>
  <c r="AH7" i="6"/>
  <c r="AE7" i="6"/>
  <c r="AE6" i="6" s="1"/>
  <c r="AF7" i="6"/>
  <c r="AG7" i="6"/>
  <c r="AM7" i="6" s="1"/>
  <c r="AM6" i="6" s="1"/>
  <c r="I4" i="7" s="1"/>
  <c r="P7" i="6"/>
  <c r="I7" i="7" l="1"/>
  <c r="AF6" i="6"/>
  <c r="AL7" i="6"/>
  <c r="AL6" i="6" s="1"/>
  <c r="F4" i="7" s="1"/>
  <c r="AK7" i="6"/>
  <c r="AK6" i="6" s="1"/>
  <c r="C4" i="7" s="1"/>
  <c r="AH6" i="6"/>
  <c r="AH22" i="6" s="1"/>
  <c r="AG6" i="6"/>
  <c r="AG22" i="6" s="1"/>
  <c r="AD22" i="6"/>
  <c r="AF22" i="6"/>
  <c r="AC22" i="6"/>
  <c r="AV7" i="6"/>
  <c r="AV6" i="6" s="1"/>
  <c r="AO7" i="6"/>
  <c r="AO6" i="6" s="1"/>
  <c r="AR7" i="6"/>
  <c r="AR6" i="6" s="1"/>
  <c r="AP7" i="6"/>
  <c r="AP6" i="6" s="1"/>
  <c r="AQ7" i="6"/>
  <c r="AQ6" i="6" s="1"/>
  <c r="AT7" i="6"/>
  <c r="AT6" i="6" s="1"/>
  <c r="AS7" i="6"/>
  <c r="AS6" i="6" s="1"/>
  <c r="AE22" i="6"/>
  <c r="AJ22" i="6"/>
  <c r="O22" i="6"/>
  <c r="P6" i="6"/>
  <c r="C7" i="7" l="1"/>
  <c r="F7" i="7"/>
  <c r="AY7" i="6"/>
  <c r="AY6" i="6" s="1"/>
  <c r="J4" i="7" s="1"/>
  <c r="AO22" i="6"/>
  <c r="AW7" i="6"/>
  <c r="AW6" i="6" s="1"/>
  <c r="D4" i="7" s="1"/>
  <c r="D7" i="7" s="1"/>
  <c r="AX7" i="6"/>
  <c r="AX6" i="6" s="1"/>
  <c r="G4" i="7" s="1"/>
  <c r="G7" i="7" s="1"/>
  <c r="AP22" i="6"/>
  <c r="AL22" i="6"/>
  <c r="AM22" i="6"/>
  <c r="AK22" i="6"/>
  <c r="AG27" i="6" s="1"/>
  <c r="AT22" i="6"/>
  <c r="AV22" i="6"/>
  <c r="AS22" i="6"/>
  <c r="AU7" i="6"/>
  <c r="AI7" i="6"/>
  <c r="W22" i="6"/>
  <c r="AR22" i="6"/>
  <c r="AQ22" i="6"/>
  <c r="E4" i="7" l="1"/>
  <c r="E7" i="7" s="1"/>
  <c r="J7" i="7"/>
  <c r="K4" i="7"/>
  <c r="K7" i="7" s="1"/>
  <c r="H4" i="7"/>
  <c r="H7" i="7" s="1"/>
  <c r="AZ7" i="6"/>
  <c r="AZ6" i="6" s="1"/>
  <c r="M4" i="7" s="1"/>
  <c r="AU6" i="6"/>
  <c r="AU22" i="6" s="1"/>
  <c r="AI6" i="6"/>
  <c r="AI22" i="6" s="1"/>
  <c r="AN7" i="6"/>
  <c r="AN6" i="6" s="1"/>
  <c r="L4" i="7" s="1"/>
  <c r="AW22" i="6"/>
  <c r="AB22" i="6"/>
  <c r="AX22" i="6"/>
  <c r="AY22" i="6"/>
  <c r="N4" i="7" l="1"/>
  <c r="N7" i="7" s="1"/>
  <c r="L7" i="7"/>
  <c r="O4" i="7"/>
  <c r="P4" i="7"/>
  <c r="P7" i="7" s="1"/>
  <c r="M7" i="7"/>
  <c r="AZ22" i="6"/>
  <c r="AN22" i="6"/>
  <c r="L22" i="6"/>
  <c r="P22" i="6" s="1"/>
  <c r="P10" i="6"/>
  <c r="Q4" i="7" l="1"/>
  <c r="Q7" i="7" s="1"/>
  <c r="O7" i="7"/>
  <c r="N10" i="6"/>
  <c r="N22" i="6"/>
</calcChain>
</file>

<file path=xl/sharedStrings.xml><?xml version="1.0" encoding="utf-8"?>
<sst xmlns="http://schemas.openxmlformats.org/spreadsheetml/2006/main" count="176" uniqueCount="126">
  <si>
    <t>IPA III 2024-2027 SECTOR OPERATIONAL PROGRAMME FICHE</t>
  </si>
  <si>
    <t>Window 4 Competitiveness and Inclusive Growth
Thematic priorities 1: Education, employment, social protection and inclusion policies, and health</t>
  </si>
  <si>
    <t xml:space="preserve">Indicative Budget in EUR </t>
  </si>
  <si>
    <t>TOTAL in EUR:</t>
  </si>
  <si>
    <t>Priority Axis 
Area of Support</t>
  </si>
  <si>
    <t>IPA III SECTOR OPERATIONAL PROGRAMME (SOP) 2024-2027 “EU for Jobs and Opportunities”</t>
  </si>
  <si>
    <t>Total Budget in EUR</t>
  </si>
  <si>
    <t>EU/ IPA Contribution in EUR</t>
  </si>
  <si>
    <t>National Cofinancing or Third Party Contribution in EUR</t>
  </si>
  <si>
    <t>Area of support 1 “Implementation of Reinforced Youth Guarantee”</t>
  </si>
  <si>
    <t xml:space="preserve">Area of support 1 </t>
  </si>
  <si>
    <t xml:space="preserve">Area of support 2 </t>
  </si>
  <si>
    <t xml:space="preserve">Area of support 3 </t>
  </si>
  <si>
    <t xml:space="preserve">Area of support 4 </t>
  </si>
  <si>
    <t xml:space="preserve">Area of support 5 </t>
  </si>
  <si>
    <t>Area of support 6</t>
  </si>
  <si>
    <t xml:space="preserve">
Area of Support</t>
  </si>
  <si>
    <t>Total in EUR</t>
  </si>
  <si>
    <t>EU/ IPA Contribution by years in EUR</t>
  </si>
  <si>
    <t>Type of Contract</t>
  </si>
  <si>
    <t>Direct Award Contract to ESA</t>
  </si>
  <si>
    <t>Programmed Amount per Contract in EUR</t>
  </si>
  <si>
    <r>
      <t>Area of support 2 “Boosting social and micro-enterprises development and (self)employment among vulnerable groups</t>
    </r>
    <r>
      <rPr>
        <sz val="10"/>
        <rFont val="Arial"/>
        <family val="2"/>
      </rPr>
      <t>”</t>
    </r>
  </si>
  <si>
    <t>Indicative Projects' Contract Planned</t>
  </si>
  <si>
    <t>Service Contract + Suppy Contract</t>
  </si>
  <si>
    <t>Service Contract</t>
  </si>
  <si>
    <t>Grant Scheme</t>
  </si>
  <si>
    <t>Area of support 3 “Support for high-quality, affordable and accessible care services”</t>
  </si>
  <si>
    <t>Works Contract</t>
  </si>
  <si>
    <t>Supervision Service Contract</t>
  </si>
  <si>
    <t>Area of support 4 “Enhancing Roma Integration”</t>
  </si>
  <si>
    <t xml:space="preserve">Area of support 5 SOP Technical Assistance </t>
  </si>
  <si>
    <t>Service Contract + Suppy Contract + Direct Grant to IPA OS</t>
  </si>
  <si>
    <t>Duration of Contract</t>
  </si>
  <si>
    <t>Area of Support</t>
  </si>
  <si>
    <t>Area of support 3: Other Support</t>
  </si>
  <si>
    <t>Ouput</t>
  </si>
  <si>
    <t>Procurement methodology &amp; preconditions</t>
  </si>
  <si>
    <t>Proc #
sequencing</t>
  </si>
  <si>
    <t xml:space="preserve">Project/Contract </t>
  </si>
  <si>
    <t>Contracted  (provided FA is signed by 12/2024)</t>
  </si>
  <si>
    <t xml:space="preserve"> Launched procedure</t>
  </si>
  <si>
    <t xml:space="preserve">Area of support 1: RAIL Transport Infrastructure
</t>
  </si>
  <si>
    <t>Area of support 2: ROADS Transport Infrastructure</t>
  </si>
  <si>
    <t>Indicative Procurement Plan</t>
  </si>
  <si>
    <t>Service</t>
  </si>
  <si>
    <t>Works</t>
  </si>
  <si>
    <t>TBD</t>
  </si>
  <si>
    <t>Works (3 Lots)</t>
  </si>
  <si>
    <t>Duration of CFCD procurement procedures [in months]</t>
  </si>
  <si>
    <t>Q3 2027</t>
  </si>
  <si>
    <t>Q3 2028</t>
  </si>
  <si>
    <t>Q3 2025</t>
  </si>
  <si>
    <t>Q3 2024</t>
  </si>
  <si>
    <t>Q3 2026</t>
  </si>
  <si>
    <t>N/A</t>
  </si>
  <si>
    <r>
      <t xml:space="preserve">Precondition/comments: 
</t>
    </r>
    <r>
      <rPr>
        <sz val="10"/>
        <rFont val="Arial"/>
        <family val="2"/>
        <charset val="238"/>
      </rPr>
      <t xml:space="preserve">Assumed global price contract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Methodology: Global price contract.</t>
    </r>
    <r>
      <rPr>
        <sz val="10"/>
        <rFont val="Arial"/>
        <family val="2"/>
      </rPr>
      <t xml:space="preserve"> Payment schedule 40% "prefinancig" for first YEAR, 60% end of contract - to be verified by CFCD. </t>
    </r>
  </si>
  <si>
    <t>*Development of feasibility studies for  Expressway A2, Section Stracin-Romanovce and Katlanovo-Veles Right Carriageway of Motorway A1 Section (Phase 1)</t>
  </si>
  <si>
    <r>
      <rPr>
        <b/>
        <sz val="10"/>
        <color rgb="FFFF0000"/>
        <rFont val="Arial"/>
        <family val="2"/>
      </rPr>
      <t xml:space="preserve">Precondition/comments: </t>
    </r>
    <r>
      <rPr>
        <b/>
        <sz val="10"/>
        <rFont val="Arial"/>
        <family val="2"/>
      </rPr>
      <t xml:space="preserve">
Methodology: </t>
    </r>
    <r>
      <rPr>
        <sz val="10"/>
        <rFont val="Arial"/>
        <family val="2"/>
        <charset val="238"/>
      </rPr>
      <t>Fee based contract. Pre-financing 20% (1YEAR) and 10%(end YEAR)</t>
    </r>
  </si>
  <si>
    <t>EU%</t>
  </si>
  <si>
    <t>Ntional %</t>
  </si>
  <si>
    <t xml:space="preserve"> Q2 2025</t>
  </si>
  <si>
    <t>Q2 2026</t>
  </si>
  <si>
    <r>
      <t xml:space="preserve">Precondition/comments: 
</t>
    </r>
    <r>
      <rPr>
        <b/>
        <sz val="10"/>
        <color theme="1"/>
        <rFont val="Arial"/>
        <family val="2"/>
        <charset val="238"/>
      </rPr>
      <t>T</t>
    </r>
    <r>
      <rPr>
        <sz val="10"/>
        <color theme="1"/>
        <rFont val="Arial"/>
        <family val="2"/>
        <charset val="238"/>
      </rPr>
      <t>o have a service contract for design with all permits and TOR in place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Methodology</t>
    </r>
    <r>
      <rPr>
        <sz val="10"/>
        <rFont val="Arial"/>
        <family val="2"/>
        <charset val="238"/>
      </rPr>
      <t>: Adv</t>
    </r>
    <r>
      <rPr>
        <sz val="10"/>
        <rFont val="Arial"/>
        <family val="2"/>
      </rPr>
      <t xml:space="preserve">ance payment for 1st year - 20%, 2nd 40% and 3rd 40% </t>
    </r>
    <r>
      <rPr>
        <b/>
        <sz val="10"/>
        <color rgb="FFFF0000"/>
        <rFont val="Arial"/>
        <family val="2"/>
      </rPr>
      <t xml:space="preserve"> </t>
    </r>
  </si>
  <si>
    <r>
      <rPr>
        <b/>
        <sz val="10"/>
        <rFont val="Arial"/>
        <family val="2"/>
      </rPr>
      <t xml:space="preserve">Precondition/comments: </t>
    </r>
    <r>
      <rPr>
        <sz val="10"/>
        <rFont val="Arial"/>
        <family val="2"/>
      </rPr>
      <t xml:space="preserve">Suspention clause to be apply for design phase. Phase 1 - Feasibility study, Phase 2 based on results of FS= design and final procurement strategy to be decided
</t>
    </r>
    <r>
      <rPr>
        <b/>
        <sz val="10"/>
        <rFont val="Arial"/>
        <family val="2"/>
      </rPr>
      <t xml:space="preserve">Methodology: </t>
    </r>
    <r>
      <rPr>
        <sz val="10"/>
        <rFont val="Arial"/>
        <family val="2"/>
      </rPr>
      <t xml:space="preserve"> Global price contract 40% - prefinancing, 60% - end to be verified by CFCD
*the ultimate contracting strategy will be determined at a later stage (whether one combined contract or two separate ones for Phase 1 and Phase 2)</t>
    </r>
  </si>
  <si>
    <t>Precondition/comments: Suspention clause to be apply for design phase. Phase 1 - Feasibility study, Phase 2 based on results of FS= design and final procurement strategy to be decided
Methodology:  Global price contract 40% - prefinancing, 1st year 30%, 2nd year 30%
*the ultimate contracting strategy will be determined at a later stage (whether one combined contract or two separate ones for Phase 1 and Phase 2)</t>
  </si>
  <si>
    <r>
      <t xml:space="preserve">IPA III 2024-2027 SECTOR OPERATIONAL PROGRAMME </t>
    </r>
    <r>
      <rPr>
        <b/>
        <sz val="20"/>
        <color rgb="FFFF0000"/>
        <rFont val="Arial"/>
        <family val="2"/>
      </rPr>
      <t>Transport</t>
    </r>
  </si>
  <si>
    <t>Indicative TOTAL disbursment 
 (provided FA is signed by 12/2024)</t>
  </si>
  <si>
    <r>
      <t xml:space="preserve">Indicative </t>
    </r>
    <r>
      <rPr>
        <b/>
        <sz val="18"/>
        <color rgb="FFFF0000"/>
        <rFont val="Arial"/>
        <family val="2"/>
      </rPr>
      <t xml:space="preserve">TOTAL </t>
    </r>
    <r>
      <rPr>
        <b/>
        <sz val="18"/>
        <color theme="0"/>
        <rFont val="Arial"/>
        <family val="2"/>
      </rPr>
      <t>commitments</t>
    </r>
  </si>
  <si>
    <t xml:space="preserve">Indicative NATIONAL FUNDS disbursment </t>
  </si>
  <si>
    <r>
      <t xml:space="preserve">Indicative </t>
    </r>
    <r>
      <rPr>
        <b/>
        <sz val="16"/>
        <color rgb="FFFF0000"/>
        <rFont val="Arial"/>
        <family val="2"/>
      </rPr>
      <t>NATIONAL FUNDS commitments</t>
    </r>
    <r>
      <rPr>
        <b/>
        <sz val="16"/>
        <rFont val="Arial"/>
        <family val="2"/>
      </rPr>
      <t xml:space="preserve"> </t>
    </r>
  </si>
  <si>
    <r>
      <t xml:space="preserve">Indicative </t>
    </r>
    <r>
      <rPr>
        <b/>
        <sz val="16"/>
        <color rgb="FFFF0000"/>
        <rFont val="Arial"/>
        <family val="2"/>
      </rPr>
      <t>EU FUNDS commitments</t>
    </r>
    <r>
      <rPr>
        <b/>
        <sz val="16"/>
        <rFont val="Arial"/>
        <family val="2"/>
      </rPr>
      <t xml:space="preserve"> </t>
    </r>
  </si>
  <si>
    <t xml:space="preserve">Indicative EU FUNDS disbursment </t>
  </si>
  <si>
    <t>Q3  2024</t>
  </si>
  <si>
    <t>Twinning</t>
  </si>
  <si>
    <t>Q1 2025</t>
  </si>
  <si>
    <t>Q1 2026</t>
  </si>
  <si>
    <t>Q2 2028</t>
  </si>
  <si>
    <t>Q2 2029</t>
  </si>
  <si>
    <t>24 +24(DLP)</t>
  </si>
  <si>
    <t>24+12(DLP)</t>
  </si>
  <si>
    <r>
      <t>36+</t>
    </r>
    <r>
      <rPr>
        <sz val="10"/>
        <color rgb="FFFF0000"/>
        <rFont val="Arial"/>
        <family val="2"/>
        <charset val="238"/>
      </rPr>
      <t>12(DLP)</t>
    </r>
  </si>
  <si>
    <r>
      <t xml:space="preserve">Precondition/comments: 
</t>
    </r>
    <r>
      <rPr>
        <sz val="10"/>
        <color theme="1"/>
        <rFont val="Arial"/>
        <family val="2"/>
        <charset val="238"/>
      </rPr>
      <t>External support for preparation of TOR is requested by PESR.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Methodology:</t>
    </r>
    <r>
      <rPr>
        <sz val="10"/>
        <rFont val="Arial"/>
        <family val="2"/>
      </rPr>
      <t xml:space="preserve">  advance 20% first year, </t>
    </r>
    <r>
      <rPr>
        <sz val="10"/>
        <color rgb="FFFF0000"/>
        <rFont val="Arial"/>
        <family val="2"/>
        <charset val="238"/>
      </rPr>
      <t xml:space="preserve">then each year same percentage </t>
    </r>
  </si>
  <si>
    <r>
      <t>Precondition/comments: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To be considered on the later stage a loger contract duration!</t>
    </r>
    <r>
      <rPr>
        <b/>
        <sz val="10"/>
        <color rgb="FFFF0000"/>
        <rFont val="Arial"/>
        <family val="2"/>
      </rPr>
      <t xml:space="preserve">
</t>
    </r>
    <r>
      <rPr>
        <sz val="10"/>
        <color theme="1"/>
        <rFont val="Arial"/>
        <family val="2"/>
        <charset val="238"/>
      </rPr>
      <t xml:space="preserve">Suspension clauses to be applied, MEAT awarding criteria to be consired, separate budget lines for preparatory works and supervision.
</t>
    </r>
    <r>
      <rPr>
        <b/>
        <sz val="10"/>
        <rFont val="Arial"/>
        <family val="2"/>
      </rPr>
      <t>Methodology:</t>
    </r>
    <r>
      <rPr>
        <sz val="10"/>
        <rFont val="Arial"/>
        <family val="2"/>
      </rPr>
      <t xml:space="preserve"> Payment for </t>
    </r>
    <r>
      <rPr>
        <sz val="10"/>
        <color theme="1"/>
        <rFont val="Arial"/>
        <family val="2"/>
        <charset val="238"/>
      </rPr>
      <t>1st year- 20%, 5% for DLP period</t>
    </r>
  </si>
  <si>
    <r>
      <t xml:space="preserve">Precondition/comments: TBD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Methodology:</t>
    </r>
    <r>
      <rPr>
        <sz val="10"/>
        <rFont val="Arial"/>
        <family val="2"/>
      </rPr>
      <t xml:space="preserve"> TBD</t>
    </r>
  </si>
  <si>
    <r>
      <t xml:space="preserve">Precondition/comments: 
</t>
    </r>
    <r>
      <rPr>
        <sz val="10"/>
        <color theme="1"/>
        <rFont val="Arial"/>
        <family val="2"/>
        <charset val="238"/>
      </rPr>
      <t xml:space="preserve">Completed Design, BoQ and TD is done within previous servive contract included in SOPT. </t>
    </r>
    <r>
      <rPr>
        <b/>
        <sz val="10"/>
        <color rgb="FFFF0000"/>
        <rFont val="Arial"/>
        <family val="2"/>
      </rPr>
      <t xml:space="preserve">
</t>
    </r>
    <r>
      <rPr>
        <b/>
        <sz val="10"/>
        <rFont val="Arial"/>
        <family val="2"/>
      </rPr>
      <t xml:space="preserve">Methodology: </t>
    </r>
    <r>
      <rPr>
        <sz val="10"/>
        <rFont val="Arial"/>
        <family val="2"/>
      </rPr>
      <t>20 % - first year, 40 % second year and 40 % third year</t>
    </r>
  </si>
  <si>
    <t>Q1 2027</t>
  </si>
  <si>
    <r>
      <t xml:space="preserve">*Development of technical and procurement documentation include detail design for: (1)Construction of Expressway A2, Section Stracin-Romanovce, (2) Construction of motorway section A1 Katlanovo-Veles (Right Carriageway) (Phase 2) </t>
    </r>
    <r>
      <rPr>
        <sz val="10"/>
        <color rgb="FFFF0000"/>
        <rFont val="Arial"/>
        <family val="2"/>
      </rPr>
      <t>(reserve project)</t>
    </r>
  </si>
  <si>
    <t xml:space="preserve">Methodology:  Global price contract upon submission of  deliverables </t>
  </si>
  <si>
    <r>
      <t xml:space="preserve">Precondition/comments: </t>
    </r>
    <r>
      <rPr>
        <sz val="10"/>
        <color rgb="FFFF0000"/>
        <rFont val="Arial"/>
        <family val="2"/>
      </rPr>
      <t xml:space="preserve">n/a
</t>
    </r>
    <r>
      <rPr>
        <b/>
        <sz val="10"/>
        <color theme="1"/>
        <rFont val="Arial"/>
        <family val="2"/>
      </rPr>
      <t>Methodology</t>
    </r>
    <r>
      <rPr>
        <sz val="10"/>
        <color theme="1"/>
        <rFont val="Arial"/>
        <family val="2"/>
      </rPr>
      <t>: Payment for 1st year- 20% second 60% and third year 20%</t>
    </r>
  </si>
  <si>
    <t xml:space="preserve">1.1. 1.	Railway network improved on specific sections of Corridor X, incorporating climate resilience measures
</t>
  </si>
  <si>
    <r>
      <t xml:space="preserve">1.2. </t>
    </r>
    <r>
      <rPr>
        <sz val="10"/>
        <rFont val="Arial"/>
        <family val="2"/>
      </rPr>
      <t>Strengthened capacities within national railway authorities in effective implementation of rail policies and alignment with EU regulations</t>
    </r>
    <r>
      <rPr>
        <b/>
        <sz val="10"/>
        <rFont val="Arial"/>
        <family val="2"/>
      </rPr>
      <t xml:space="preserve">
Soft measure</t>
    </r>
  </si>
  <si>
    <t xml:space="preserve">Reconstruction/ rehabilitationupgrade of the railway bridges on Railway Corridor X - major project
</t>
  </si>
  <si>
    <t>3.1. Improved management, implementation and control of the EU financial assistance, including through development of human capital, in accordance with EU requirements and best practices</t>
  </si>
  <si>
    <r>
      <t xml:space="preserve">Technical Assistance for support of operational programme implementation - </t>
    </r>
    <r>
      <rPr>
        <b/>
        <sz val="10"/>
        <color rgb="FF00B050"/>
        <rFont val="Arial"/>
        <family val="2"/>
      </rPr>
      <t>INCLUDED IN OIS 2024</t>
    </r>
  </si>
  <si>
    <r>
      <t xml:space="preserve">Retention Policy
</t>
    </r>
    <r>
      <rPr>
        <b/>
        <sz val="10"/>
        <color rgb="FF00B050"/>
        <rFont val="Arial"/>
        <family val="2"/>
      </rPr>
      <t>INCLUDED IN OIS 2024</t>
    </r>
  </si>
  <si>
    <t>2.1. Road network improved in “triangle” area connecting TEN T corridor X and VIII</t>
  </si>
  <si>
    <t xml:space="preserve">2.2  Selected road infrastructure projects of national and European strategic importance are mature and ready for investment by EU standards </t>
  </si>
  <si>
    <r>
      <rPr>
        <sz val="10"/>
        <rFont val="Arial"/>
        <family val="2"/>
      </rPr>
      <t xml:space="preserve">2.3 Enhanced capacities of road sector related national authorities accompanied by the integration of road safety, maintenance and road asset management policies and alignment with the EU regulations </t>
    </r>
    <r>
      <rPr>
        <b/>
        <sz val="10"/>
        <rFont val="Arial"/>
        <family val="2"/>
      </rPr>
      <t xml:space="preserve">
Soft mesure</t>
    </r>
  </si>
  <si>
    <t xml:space="preserve">Rehabilitation of Corridor X - VIII connection motorways A1, A2, and A4 in the area of "Skopje Triangle" (Miladinovci–Petrovec, Miladinovci – Hipodrom, Hipodrom – Petrovec) – major project
</t>
  </si>
  <si>
    <t>Design for Rehabilitation of state road A1, section Gevgelija - Greece border (Bogorodica) (right carriageway)</t>
  </si>
  <si>
    <t>Alignment of technical standards for road construction with the EU regulations and best practices</t>
  </si>
  <si>
    <t xml:space="preserve">Service </t>
  </si>
  <si>
    <r>
      <t>Preparatory works and supervision for major project on reconstruction/rehabilitation of the railway bridges on Railway Corridor X -</t>
    </r>
    <r>
      <rPr>
        <b/>
        <sz val="10"/>
        <color theme="6" tint="-0.499984740745262"/>
        <rFont val="Arial"/>
        <family val="2"/>
        <charset val="238"/>
      </rPr>
      <t xml:space="preserve"> </t>
    </r>
    <r>
      <rPr>
        <b/>
        <sz val="10"/>
        <color rgb="FF00B050"/>
        <rFont val="Arial"/>
        <family val="2"/>
      </rPr>
      <t>INCLUDED IN OIS RAIL 2024</t>
    </r>
    <r>
      <rPr>
        <sz val="10"/>
        <color theme="1"/>
        <rFont val="Arial"/>
        <family val="2"/>
      </rPr>
      <t xml:space="preserve">
</t>
    </r>
  </si>
  <si>
    <r>
      <t xml:space="preserve">Allingment of of rail policies and their alignment with the EU requirements  together with capacity building of national authorities </t>
    </r>
    <r>
      <rPr>
        <sz val="10"/>
        <color rgb="FF00B050"/>
        <rFont val="Arial"/>
        <family val="2"/>
        <charset val="238"/>
      </rPr>
      <t xml:space="preserve"> </t>
    </r>
    <r>
      <rPr>
        <b/>
        <sz val="10"/>
        <color rgb="FF00B050"/>
        <rFont val="Arial"/>
        <family val="2"/>
        <charset val="238"/>
      </rPr>
      <t xml:space="preserve">- </t>
    </r>
    <r>
      <rPr>
        <b/>
        <sz val="10"/>
        <color rgb="FF00B050"/>
        <rFont val="Arial"/>
        <family val="2"/>
      </rPr>
      <t>INCLUDED IN OIS RAIL 2024</t>
    </r>
  </si>
  <si>
    <r>
      <t>Preparatory works and supervision for major project on rehabilitation of Corridor X - VIII connection motorways A1, A2, and A4 in the area of "Skopje Triangle" -</t>
    </r>
    <r>
      <rPr>
        <b/>
        <sz val="10"/>
        <color rgb="FF00B050"/>
        <rFont val="Arial"/>
        <family val="2"/>
      </rPr>
      <t xml:space="preserve"> INCLUDED IN OIS ROADS 2024</t>
    </r>
  </si>
  <si>
    <r>
      <t xml:space="preserve">Alignment of national legislation and policies with EU Acquis for road infrastructure management together with capacity building </t>
    </r>
    <r>
      <rPr>
        <b/>
        <sz val="10"/>
        <rFont val="Arial"/>
        <family val="2"/>
      </rPr>
      <t>-</t>
    </r>
    <r>
      <rPr>
        <b/>
        <sz val="10"/>
        <color rgb="FF00B050"/>
        <rFont val="Arial"/>
        <family val="2"/>
        <charset val="238"/>
      </rPr>
      <t xml:space="preserve"> INCLUDED IN OIS</t>
    </r>
    <r>
      <rPr>
        <b/>
        <sz val="10"/>
        <color rgb="FF00B050"/>
        <rFont val="Arial"/>
        <family val="2"/>
      </rPr>
      <t xml:space="preserve"> ROADS 2024</t>
    </r>
  </si>
  <si>
    <t>Area of Support 3</t>
  </si>
  <si>
    <t>TOTAL</t>
  </si>
  <si>
    <t>Area of Support 1</t>
  </si>
  <si>
    <t>Area of Support 2</t>
  </si>
  <si>
    <t>EU contribution</t>
  </si>
  <si>
    <t>IPA III beneficiary co-financing</t>
  </si>
  <si>
    <t>Total expenditure</t>
  </si>
  <si>
    <t xml:space="preserve">Total </t>
  </si>
  <si>
    <t>Year 2024</t>
  </si>
  <si>
    <t>Year 2025</t>
  </si>
  <si>
    <t>Year 2026</t>
  </si>
  <si>
    <t>Year 2027</t>
  </si>
  <si>
    <t>Total</t>
  </si>
  <si>
    <t>60 (includes DLP)</t>
  </si>
  <si>
    <t>Supply</t>
  </si>
  <si>
    <t>Methodology: Global price contract</t>
  </si>
  <si>
    <t xml:space="preserve">Supply of necessary equipment and IT tools to support IPA programme management structure - TO BE CONFIRMED BY MA </t>
  </si>
  <si>
    <t>Q2 2025</t>
  </si>
  <si>
    <t>Q4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</si>
</sst>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2" x14ac:knownFonts="1">
    <font>
      <sz val="10"/>
      <color rgb="FF000000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rgb="FF000000"/>
      <name val="Arial"/>
      <family val="2"/>
      <charset val="204"/>
    </font>
    <font>
      <b/>
      <u/>
      <sz val="10"/>
      <name val="Arial"/>
      <family val="2"/>
      <charset val="204"/>
    </font>
    <font>
      <b/>
      <sz val="10"/>
      <color theme="0"/>
      <name val="Arial"/>
      <family val="2"/>
    </font>
    <font>
      <b/>
      <i/>
      <sz val="10"/>
      <color theme="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u/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</font>
    <font>
      <b/>
      <sz val="16"/>
      <color theme="0"/>
      <name val="Arial"/>
      <family val="2"/>
    </font>
    <font>
      <b/>
      <sz val="18"/>
      <color theme="0"/>
      <name val="Arial"/>
      <family val="2"/>
    </font>
    <font>
      <b/>
      <sz val="16"/>
      <name val="Arial"/>
      <family val="2"/>
    </font>
    <font>
      <b/>
      <sz val="16"/>
      <color rgb="FFFF0000"/>
      <name val="Arial"/>
      <family val="2"/>
    </font>
    <font>
      <b/>
      <sz val="18"/>
      <name val="Arial"/>
      <family val="2"/>
    </font>
    <font>
      <b/>
      <sz val="18"/>
      <color rgb="FFFF0000"/>
      <name val="Arial"/>
      <family val="2"/>
    </font>
    <font>
      <b/>
      <sz val="20"/>
      <name val="Arial"/>
      <family val="2"/>
    </font>
    <font>
      <b/>
      <sz val="20"/>
      <color rgb="FFFF0000"/>
      <name val="Arial"/>
      <family val="2"/>
    </font>
    <font>
      <sz val="16"/>
      <color theme="0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2"/>
      <color rgb="FFFF0000"/>
      <name val="Arial"/>
      <family val="2"/>
    </font>
    <font>
      <b/>
      <u/>
      <sz val="12"/>
      <color rgb="FFFF0000"/>
      <name val="Arial"/>
      <family val="2"/>
    </font>
    <font>
      <b/>
      <sz val="10"/>
      <color theme="6" tint="-0.499984740745262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10"/>
      <color rgb="FF00B050"/>
      <name val="Arial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23">
    <fill>
      <patternFill patternType="none"/>
    </fill>
    <fill>
      <patternFill patternType="gray125"/>
    </fill>
    <fill>
      <patternFill patternType="solid">
        <fgColor indexed="15"/>
        <bgColor indexed="9"/>
      </patternFill>
    </fill>
    <fill>
      <patternFill patternType="solid">
        <fgColor indexed="27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44"/>
        <bgColor indexed="9"/>
      </patternFill>
    </fill>
    <fill>
      <patternFill patternType="solid">
        <fgColor indexed="21"/>
        <bgColor indexed="9"/>
      </patternFill>
    </fill>
    <fill>
      <patternFill patternType="solid">
        <fgColor theme="1" tint="0.249977111117893"/>
        <bgColor indexed="9"/>
      </patternFill>
    </fill>
    <fill>
      <patternFill patternType="solid">
        <fgColor theme="2"/>
        <bgColor indexed="9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9"/>
      </patternFill>
    </fill>
    <fill>
      <patternFill patternType="solid">
        <fgColor theme="6" tint="0.79998168889431442"/>
        <bgColor indexed="9"/>
      </patternFill>
    </fill>
    <fill>
      <patternFill patternType="solid">
        <fgColor theme="9" tint="0.79998168889431442"/>
        <bgColor indexed="9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9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29" fillId="0" borderId="0" applyFont="0" applyFill="0" applyBorder="0" applyAlignment="0" applyProtection="0"/>
  </cellStyleXfs>
  <cellXfs count="250">
    <xf numFmtId="0" fontId="0" fillId="0" borderId="0" xfId="0"/>
    <xf numFmtId="0" fontId="0" fillId="0" borderId="0" xfId="0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3" fontId="0" fillId="0" borderId="0" xfId="0" applyNumberFormat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3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3" fontId="9" fillId="4" borderId="3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3" fontId="9" fillId="4" borderId="9" xfId="0" applyNumberFormat="1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3" fontId="9" fillId="4" borderId="6" xfId="0" applyNumberFormat="1" applyFont="1" applyFill="1" applyBorder="1" applyAlignment="1">
      <alignment horizontal="center" vertical="center" wrapText="1"/>
    </xf>
    <xf numFmtId="3" fontId="15" fillId="3" borderId="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3" fontId="5" fillId="8" borderId="6" xfId="0" applyNumberFormat="1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3" fontId="0" fillId="9" borderId="6" xfId="0" applyNumberForma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6" xfId="0" applyBorder="1" applyAlignment="1">
      <alignment vertical="top" wrapText="1"/>
    </xf>
    <xf numFmtId="0" fontId="11" fillId="13" borderId="6" xfId="0" applyFont="1" applyFill="1" applyBorder="1" applyAlignment="1">
      <alignment horizontal="left" vertical="center" wrapText="1"/>
    </xf>
    <xf numFmtId="0" fontId="11" fillId="13" borderId="6" xfId="0" applyFont="1" applyFill="1" applyBorder="1" applyAlignment="1">
      <alignment horizontal="center" vertical="center" wrapText="1"/>
    </xf>
    <xf numFmtId="3" fontId="11" fillId="13" borderId="5" xfId="0" applyNumberFormat="1" applyFont="1" applyFill="1" applyBorder="1" applyAlignment="1">
      <alignment horizontal="center" vertical="center" wrapText="1"/>
    </xf>
    <xf numFmtId="3" fontId="11" fillId="13" borderId="3" xfId="0" applyNumberFormat="1" applyFont="1" applyFill="1" applyBorder="1" applyAlignment="1">
      <alignment horizontal="center" vertical="center" wrapText="1"/>
    </xf>
    <xf numFmtId="3" fontId="11" fillId="13" borderId="6" xfId="0" applyNumberFormat="1" applyFont="1" applyFill="1" applyBorder="1" applyAlignment="1">
      <alignment horizontal="center" vertical="center" wrapText="1"/>
    </xf>
    <xf numFmtId="3" fontId="11" fillId="13" borderId="14" xfId="0" applyNumberFormat="1" applyFont="1" applyFill="1" applyBorder="1" applyAlignment="1">
      <alignment horizontal="center" vertical="center" wrapText="1"/>
    </xf>
    <xf numFmtId="3" fontId="23" fillId="0" borderId="3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19" fillId="0" borderId="17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3" fontId="21" fillId="0" borderId="6" xfId="0" applyNumberFormat="1" applyFon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 wrapText="1"/>
    </xf>
    <xf numFmtId="0" fontId="5" fillId="13" borderId="6" xfId="0" applyFont="1" applyFill="1" applyBorder="1" applyAlignment="1">
      <alignment horizontal="left" vertical="top" wrapText="1"/>
    </xf>
    <xf numFmtId="0" fontId="11" fillId="14" borderId="5" xfId="0" applyFont="1" applyFill="1" applyBorder="1" applyAlignment="1">
      <alignment horizontal="center" vertical="center" wrapText="1"/>
    </xf>
    <xf numFmtId="3" fontId="5" fillId="14" borderId="3" xfId="0" applyNumberFormat="1" applyFont="1" applyFill="1" applyBorder="1" applyAlignment="1">
      <alignment horizontal="center" vertical="center" wrapText="1"/>
    </xf>
    <xf numFmtId="3" fontId="5" fillId="14" borderId="6" xfId="0" applyNumberFormat="1" applyFont="1" applyFill="1" applyBorder="1" applyAlignment="1">
      <alignment horizontal="center" vertical="center" wrapText="1"/>
    </xf>
    <xf numFmtId="3" fontId="11" fillId="13" borderId="18" xfId="0" applyNumberFormat="1" applyFont="1" applyFill="1" applyBorder="1" applyAlignment="1">
      <alignment horizontal="center" vertical="center" wrapText="1"/>
    </xf>
    <xf numFmtId="3" fontId="11" fillId="14" borderId="18" xfId="0" applyNumberFormat="1" applyFont="1" applyFill="1" applyBorder="1" applyAlignment="1">
      <alignment horizontal="center" vertical="center" wrapText="1"/>
    </xf>
    <xf numFmtId="0" fontId="11" fillId="14" borderId="16" xfId="0" applyFont="1" applyFill="1" applyBorder="1" applyAlignment="1">
      <alignment horizontal="center" vertical="center" wrapText="1"/>
    </xf>
    <xf numFmtId="3" fontId="11" fillId="14" borderId="10" xfId="0" applyNumberFormat="1" applyFont="1" applyFill="1" applyBorder="1" applyAlignment="1">
      <alignment horizontal="center" vertical="center" wrapText="1"/>
    </xf>
    <xf numFmtId="3" fontId="11" fillId="14" borderId="6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3" fontId="24" fillId="0" borderId="18" xfId="0" applyNumberFormat="1" applyFont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left" vertical="top" wrapText="1"/>
    </xf>
    <xf numFmtId="0" fontId="16" fillId="7" borderId="9" xfId="0" applyFont="1" applyFill="1" applyBorder="1" applyAlignment="1">
      <alignment horizontal="center" vertical="center" wrapText="1"/>
    </xf>
    <xf numFmtId="3" fontId="24" fillId="0" borderId="6" xfId="0" applyNumberFormat="1" applyFont="1" applyBorder="1" applyAlignment="1">
      <alignment horizontal="center" vertical="center" wrapText="1"/>
    </xf>
    <xf numFmtId="3" fontId="27" fillId="0" borderId="6" xfId="0" applyNumberFormat="1" applyFont="1" applyBorder="1" applyAlignment="1">
      <alignment horizontal="center" vertical="center" wrapText="1"/>
    </xf>
    <xf numFmtId="3" fontId="26" fillId="0" borderId="6" xfId="0" applyNumberFormat="1" applyFont="1" applyBorder="1" applyAlignment="1">
      <alignment horizontal="center" vertical="center" wrapText="1"/>
    </xf>
    <xf numFmtId="0" fontId="27" fillId="0" borderId="6" xfId="0" applyFont="1" applyBorder="1" applyAlignment="1">
      <alignment vertical="top" wrapText="1"/>
    </xf>
    <xf numFmtId="0" fontId="21" fillId="0" borderId="6" xfId="0" applyFont="1" applyBorder="1" applyAlignment="1">
      <alignment vertical="top" wrapText="1"/>
    </xf>
    <xf numFmtId="0" fontId="21" fillId="13" borderId="6" xfId="0" applyFont="1" applyFill="1" applyBorder="1" applyAlignment="1">
      <alignment horizontal="left" vertical="top" wrapText="1"/>
    </xf>
    <xf numFmtId="3" fontId="21" fillId="8" borderId="6" xfId="0" applyNumberFormat="1" applyFont="1" applyFill="1" applyBorder="1" applyAlignment="1">
      <alignment horizontal="center" vertical="center" wrapText="1"/>
    </xf>
    <xf numFmtId="3" fontId="21" fillId="9" borderId="6" xfId="0" applyNumberFormat="1" applyFont="1" applyFill="1" applyBorder="1" applyAlignment="1">
      <alignment horizontal="center" vertical="center" wrapText="1"/>
    </xf>
    <xf numFmtId="3" fontId="27" fillId="8" borderId="6" xfId="0" applyNumberFormat="1" applyFont="1" applyFill="1" applyBorder="1" applyAlignment="1">
      <alignment horizontal="center" vertical="center" wrapText="1"/>
    </xf>
    <xf numFmtId="3" fontId="11" fillId="13" borderId="17" xfId="0" applyNumberFormat="1" applyFont="1" applyFill="1" applyBorder="1" applyAlignment="1">
      <alignment horizontal="center" vertical="center" wrapText="1"/>
    </xf>
    <xf numFmtId="3" fontId="19" fillId="0" borderId="17" xfId="0" applyNumberFormat="1" applyFont="1" applyBorder="1" applyAlignment="1">
      <alignment horizontal="left" vertical="center" wrapText="1"/>
    </xf>
    <xf numFmtId="3" fontId="5" fillId="14" borderId="17" xfId="0" applyNumberFormat="1" applyFont="1" applyFill="1" applyBorder="1" applyAlignment="1">
      <alignment horizontal="left" vertical="center" wrapText="1"/>
    </xf>
    <xf numFmtId="3" fontId="11" fillId="14" borderId="17" xfId="0" applyNumberFormat="1" applyFont="1" applyFill="1" applyBorder="1" applyAlignment="1">
      <alignment horizontal="left" vertical="center" wrapText="1"/>
    </xf>
    <xf numFmtId="3" fontId="27" fillId="0" borderId="18" xfId="0" applyNumberFormat="1" applyFont="1" applyBorder="1" applyAlignment="1">
      <alignment horizontal="center" vertical="center" wrapText="1"/>
    </xf>
    <xf numFmtId="3" fontId="26" fillId="0" borderId="18" xfId="0" applyNumberFormat="1" applyFont="1" applyBorder="1" applyAlignment="1">
      <alignment horizontal="center" vertical="center" wrapText="1"/>
    </xf>
    <xf numFmtId="3" fontId="0" fillId="0" borderId="18" xfId="0" applyNumberFormat="1" applyBorder="1" applyAlignment="1">
      <alignment horizontal="center" vertical="center" wrapText="1"/>
    </xf>
    <xf numFmtId="0" fontId="16" fillId="7" borderId="6" xfId="0" applyFont="1" applyFill="1" applyBorder="1" applyAlignment="1">
      <alignment horizontal="center" vertical="center" wrapText="1"/>
    </xf>
    <xf numFmtId="3" fontId="5" fillId="9" borderId="6" xfId="0" applyNumberFormat="1" applyFont="1" applyFill="1" applyBorder="1" applyAlignment="1">
      <alignment horizontal="center" vertical="center" wrapText="1"/>
    </xf>
    <xf numFmtId="9" fontId="5" fillId="8" borderId="6" xfId="1" applyFont="1" applyFill="1" applyBorder="1" applyAlignment="1">
      <alignment horizontal="center" vertical="center" wrapText="1"/>
    </xf>
    <xf numFmtId="9" fontId="0" fillId="0" borderId="0" xfId="1" applyFont="1"/>
    <xf numFmtId="3" fontId="5" fillId="0" borderId="27" xfId="0" applyNumberFormat="1" applyFont="1" applyBorder="1" applyAlignment="1">
      <alignment horizontal="left" vertical="top" wrapText="1"/>
    </xf>
    <xf numFmtId="3" fontId="5" fillId="0" borderId="6" xfId="0" applyNumberFormat="1" applyFont="1" applyBorder="1" applyAlignment="1">
      <alignment horizontal="left" vertical="top" wrapText="1"/>
    </xf>
    <xf numFmtId="3" fontId="27" fillId="15" borderId="6" xfId="0" applyNumberFormat="1" applyFont="1" applyFill="1" applyBorder="1" applyAlignment="1">
      <alignment horizontal="center" vertical="center" wrapText="1"/>
    </xf>
    <xf numFmtId="3" fontId="5" fillId="10" borderId="6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9" fontId="19" fillId="13" borderId="6" xfId="1" applyFont="1" applyFill="1" applyBorder="1" applyAlignment="1">
      <alignment horizontal="center" vertical="center" wrapText="1"/>
    </xf>
    <xf numFmtId="0" fontId="41" fillId="14" borderId="0" xfId="0" applyFont="1" applyFill="1"/>
    <xf numFmtId="0" fontId="42" fillId="13" borderId="7" xfId="0" applyFont="1" applyFill="1" applyBorder="1" applyAlignment="1">
      <alignment horizontal="left" vertical="center" wrapText="1"/>
    </xf>
    <xf numFmtId="0" fontId="42" fillId="13" borderId="7" xfId="0" applyFont="1" applyFill="1" applyBorder="1" applyAlignment="1">
      <alignment horizontal="center" vertical="center" wrapText="1"/>
    </xf>
    <xf numFmtId="3" fontId="0" fillId="0" borderId="0" xfId="0" applyNumberFormat="1"/>
    <xf numFmtId="0" fontId="19" fillId="10" borderId="21" xfId="0" applyFont="1" applyFill="1" applyBorder="1" applyAlignment="1">
      <alignment horizontal="left" vertical="center" wrapText="1"/>
    </xf>
    <xf numFmtId="0" fontId="23" fillId="0" borderId="0" xfId="0" applyFont="1"/>
    <xf numFmtId="0" fontId="23" fillId="18" borderId="25" xfId="0" applyFont="1" applyFill="1" applyBorder="1" applyAlignment="1">
      <alignment horizontal="left" vertical="center" wrapText="1"/>
    </xf>
    <xf numFmtId="3" fontId="24" fillId="13" borderId="6" xfId="0" applyNumberFormat="1" applyFont="1" applyFill="1" applyBorder="1" applyAlignment="1">
      <alignment horizontal="center" vertical="center" wrapText="1"/>
    </xf>
    <xf numFmtId="0" fontId="11" fillId="20" borderId="5" xfId="0" applyFont="1" applyFill="1" applyBorder="1" applyAlignment="1">
      <alignment horizontal="center" vertical="center" wrapText="1"/>
    </xf>
    <xf numFmtId="0" fontId="11" fillId="20" borderId="16" xfId="0" applyFont="1" applyFill="1" applyBorder="1" applyAlignment="1">
      <alignment horizontal="center" vertical="center" wrapText="1"/>
    </xf>
    <xf numFmtId="3" fontId="5" fillId="20" borderId="6" xfId="0" applyNumberFormat="1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left" vertical="top" wrapText="1"/>
    </xf>
    <xf numFmtId="0" fontId="11" fillId="0" borderId="6" xfId="0" applyFont="1" applyBorder="1" applyAlignment="1">
      <alignment horizontal="center" vertical="center" wrapText="1"/>
    </xf>
    <xf numFmtId="0" fontId="0" fillId="0" borderId="11" xfId="0" applyBorder="1" applyAlignment="1">
      <alignment vertical="top" wrapText="1"/>
    </xf>
    <xf numFmtId="0" fontId="11" fillId="4" borderId="11" xfId="0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3" fontId="11" fillId="0" borderId="12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3" fontId="11" fillId="0" borderId="29" xfId="0" applyNumberFormat="1" applyFont="1" applyBorder="1" applyAlignment="1">
      <alignment horizontal="left" vertical="center" wrapText="1"/>
    </xf>
    <xf numFmtId="3" fontId="5" fillId="8" borderId="11" xfId="0" applyNumberFormat="1" applyFont="1" applyFill="1" applyBorder="1" applyAlignment="1">
      <alignment horizontal="center" vertical="center" wrapText="1"/>
    </xf>
    <xf numFmtId="9" fontId="5" fillId="8" borderId="11" xfId="1" applyFont="1" applyFill="1" applyBorder="1" applyAlignment="1">
      <alignment horizontal="center" vertical="center" wrapText="1"/>
    </xf>
    <xf numFmtId="0" fontId="42" fillId="13" borderId="7" xfId="0" applyFont="1" applyFill="1" applyBorder="1" applyAlignment="1">
      <alignment horizontal="right" vertical="center" wrapText="1"/>
    </xf>
    <xf numFmtId="3" fontId="43" fillId="13" borderId="22" xfId="0" applyNumberFormat="1" applyFont="1" applyFill="1" applyBorder="1" applyAlignment="1">
      <alignment horizontal="center" vertical="center" wrapText="1"/>
    </xf>
    <xf numFmtId="3" fontId="43" fillId="19" borderId="22" xfId="0" applyNumberFormat="1" applyFont="1" applyFill="1" applyBorder="1" applyAlignment="1">
      <alignment horizontal="center" vertical="center" wrapText="1"/>
    </xf>
    <xf numFmtId="9" fontId="44" fillId="13" borderId="22" xfId="1" applyFont="1" applyFill="1" applyBorder="1" applyAlignment="1">
      <alignment horizontal="center" vertical="center" wrapText="1"/>
    </xf>
    <xf numFmtId="3" fontId="43" fillId="13" borderId="16" xfId="0" applyNumberFormat="1" applyFont="1" applyFill="1" applyBorder="1" applyAlignment="1">
      <alignment horizontal="center" vertical="center" wrapText="1"/>
    </xf>
    <xf numFmtId="3" fontId="43" fillId="13" borderId="7" xfId="0" applyNumberFormat="1" applyFont="1" applyFill="1" applyBorder="1" applyAlignment="1">
      <alignment horizontal="center" vertical="center" wrapText="1"/>
    </xf>
    <xf numFmtId="3" fontId="43" fillId="13" borderId="10" xfId="0" applyNumberFormat="1" applyFont="1" applyFill="1" applyBorder="1" applyAlignment="1">
      <alignment horizontal="center" vertical="center" wrapText="1"/>
    </xf>
    <xf numFmtId="3" fontId="11" fillId="0" borderId="6" xfId="0" applyNumberFormat="1" applyFont="1" applyBorder="1" applyAlignment="1">
      <alignment horizontal="center" vertical="center" wrapText="1"/>
    </xf>
    <xf numFmtId="0" fontId="21" fillId="20" borderId="6" xfId="0" applyFont="1" applyFill="1" applyBorder="1" applyAlignment="1">
      <alignment vertical="top" wrapText="1"/>
    </xf>
    <xf numFmtId="0" fontId="18" fillId="20" borderId="6" xfId="0" applyFont="1" applyFill="1" applyBorder="1" applyAlignment="1">
      <alignment horizontal="center" vertical="center" wrapText="1"/>
    </xf>
    <xf numFmtId="3" fontId="5" fillId="20" borderId="12" xfId="0" applyNumberFormat="1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left" vertical="top" wrapText="1"/>
    </xf>
    <xf numFmtId="0" fontId="11" fillId="0" borderId="16" xfId="0" applyFont="1" applyBorder="1" applyAlignment="1">
      <alignment horizontal="center" vertical="center" wrapText="1"/>
    </xf>
    <xf numFmtId="0" fontId="23" fillId="18" borderId="21" xfId="0" applyFont="1" applyFill="1" applyBorder="1" applyAlignment="1">
      <alignment horizontal="left" vertical="center" wrapText="1"/>
    </xf>
    <xf numFmtId="3" fontId="11" fillId="20" borderId="6" xfId="0" applyNumberFormat="1" applyFont="1" applyFill="1" applyBorder="1" applyAlignment="1">
      <alignment horizontal="center" vertical="center" wrapText="1"/>
    </xf>
    <xf numFmtId="9" fontId="21" fillId="8" borderId="6" xfId="1" applyFont="1" applyFill="1" applyBorder="1" applyAlignment="1">
      <alignment horizontal="center" vertical="center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15" borderId="6" xfId="0" applyNumberFormat="1" applyFont="1" applyFill="1" applyBorder="1" applyAlignment="1">
      <alignment horizontal="center" vertical="center" wrapText="1"/>
    </xf>
    <xf numFmtId="3" fontId="21" fillId="10" borderId="6" xfId="0" applyNumberFormat="1" applyFont="1" applyFill="1" applyBorder="1" applyAlignment="1">
      <alignment horizontal="center" vertical="center" wrapText="1"/>
    </xf>
    <xf numFmtId="3" fontId="45" fillId="13" borderId="22" xfId="0" applyNumberFormat="1" applyFont="1" applyFill="1" applyBorder="1" applyAlignment="1">
      <alignment horizontal="center" vertical="center" wrapText="1"/>
    </xf>
    <xf numFmtId="3" fontId="24" fillId="0" borderId="17" xfId="0" applyNumberFormat="1" applyFont="1" applyBorder="1" applyAlignment="1">
      <alignment horizontal="left" vertical="center" wrapText="1"/>
    </xf>
    <xf numFmtId="0" fontId="50" fillId="0" borderId="33" xfId="0" applyFont="1" applyBorder="1" applyAlignment="1">
      <alignment horizontal="center" vertical="center" wrapText="1"/>
    </xf>
    <xf numFmtId="0" fontId="50" fillId="0" borderId="34" xfId="0" applyFont="1" applyBorder="1" applyAlignment="1">
      <alignment horizontal="center" vertical="center" wrapText="1"/>
    </xf>
    <xf numFmtId="0" fontId="51" fillId="0" borderId="0" xfId="0" applyFont="1"/>
    <xf numFmtId="0" fontId="51" fillId="0" borderId="0" xfId="0" applyFont="1" applyAlignment="1">
      <alignment horizontal="center" vertical="center"/>
    </xf>
    <xf numFmtId="3" fontId="51" fillId="0" borderId="39" xfId="0" applyNumberFormat="1" applyFont="1" applyBorder="1" applyAlignment="1">
      <alignment horizontal="center" vertical="center"/>
    </xf>
    <xf numFmtId="3" fontId="51" fillId="0" borderId="31" xfId="0" applyNumberFormat="1" applyFont="1" applyBorder="1" applyAlignment="1">
      <alignment horizontal="center" vertical="center"/>
    </xf>
    <xf numFmtId="3" fontId="51" fillId="0" borderId="35" xfId="0" applyNumberFormat="1" applyFont="1" applyBorder="1" applyAlignment="1">
      <alignment horizontal="center" vertical="center"/>
    </xf>
    <xf numFmtId="3" fontId="51" fillId="0" borderId="22" xfId="0" applyNumberFormat="1" applyFont="1" applyBorder="1" applyAlignment="1">
      <alignment horizontal="center" vertical="center"/>
    </xf>
    <xf numFmtId="3" fontId="51" fillId="0" borderId="6" xfId="0" applyNumberFormat="1" applyFont="1" applyBorder="1" applyAlignment="1">
      <alignment horizontal="center" vertical="center"/>
    </xf>
    <xf numFmtId="3" fontId="51" fillId="0" borderId="11" xfId="0" applyNumberFormat="1" applyFont="1" applyBorder="1" applyAlignment="1">
      <alignment horizontal="center" vertical="center"/>
    </xf>
    <xf numFmtId="3" fontId="51" fillId="0" borderId="40" xfId="0" applyNumberFormat="1" applyFont="1" applyBorder="1" applyAlignment="1">
      <alignment horizontal="center" vertical="center"/>
    </xf>
    <xf numFmtId="3" fontId="51" fillId="0" borderId="36" xfId="0" applyNumberFormat="1" applyFont="1" applyBorder="1" applyAlignment="1">
      <alignment horizontal="center" vertical="center"/>
    </xf>
    <xf numFmtId="0" fontId="50" fillId="0" borderId="41" xfId="0" applyFont="1" applyBorder="1" applyAlignment="1">
      <alignment horizontal="center" vertical="center" wrapText="1"/>
    </xf>
    <xf numFmtId="3" fontId="51" fillId="0" borderId="43" xfId="0" applyNumberFormat="1" applyFont="1" applyBorder="1" applyAlignment="1">
      <alignment horizontal="center" vertical="center"/>
    </xf>
    <xf numFmtId="3" fontId="51" fillId="0" borderId="37" xfId="0" applyNumberFormat="1" applyFont="1" applyBorder="1" applyAlignment="1">
      <alignment horizontal="center" vertical="center"/>
    </xf>
    <xf numFmtId="3" fontId="51" fillId="0" borderId="38" xfId="0" applyNumberFormat="1" applyFont="1" applyBorder="1" applyAlignment="1">
      <alignment horizontal="center" vertical="center"/>
    </xf>
    <xf numFmtId="3" fontId="51" fillId="0" borderId="42" xfId="0" applyNumberFormat="1" applyFont="1" applyBorder="1" applyAlignment="1">
      <alignment horizontal="center" vertical="center"/>
    </xf>
    <xf numFmtId="0" fontId="51" fillId="21" borderId="44" xfId="0" applyFont="1" applyFill="1" applyBorder="1" applyAlignment="1">
      <alignment horizontal="center" vertical="center" wrapText="1"/>
    </xf>
    <xf numFmtId="0" fontId="51" fillId="21" borderId="45" xfId="0" applyFont="1" applyFill="1" applyBorder="1" applyAlignment="1">
      <alignment horizontal="center" vertical="center" wrapText="1"/>
    </xf>
    <xf numFmtId="0" fontId="50" fillId="21" borderId="46" xfId="0" applyFont="1" applyFill="1" applyBorder="1" applyAlignment="1">
      <alignment horizontal="center" vertical="center" wrapText="1"/>
    </xf>
    <xf numFmtId="0" fontId="51" fillId="0" borderId="44" xfId="0" applyFont="1" applyBorder="1" applyAlignment="1">
      <alignment horizontal="center" vertical="center" wrapText="1"/>
    </xf>
    <xf numFmtId="0" fontId="51" fillId="0" borderId="45" xfId="0" applyFont="1" applyBorder="1" applyAlignment="1">
      <alignment horizontal="center" vertical="center" wrapText="1"/>
    </xf>
    <xf numFmtId="0" fontId="50" fillId="0" borderId="46" xfId="0" applyFont="1" applyBorder="1" applyAlignment="1">
      <alignment horizontal="center" vertical="center" wrapText="1"/>
    </xf>
    <xf numFmtId="3" fontId="24" fillId="22" borderId="6" xfId="0" applyNumberFormat="1" applyFont="1" applyFill="1" applyBorder="1" applyAlignment="1">
      <alignment horizontal="center" vertical="center" wrapText="1"/>
    </xf>
    <xf numFmtId="3" fontId="21" fillId="0" borderId="11" xfId="0" applyNumberFormat="1" applyFont="1" applyBorder="1" applyAlignment="1">
      <alignment horizontal="center" vertical="center" wrapText="1"/>
    </xf>
    <xf numFmtId="3" fontId="21" fillId="8" borderId="11" xfId="0" applyNumberFormat="1" applyFont="1" applyFill="1" applyBorder="1" applyAlignment="1">
      <alignment horizontal="center" vertical="center" wrapText="1"/>
    </xf>
    <xf numFmtId="3" fontId="27" fillId="8" borderId="11" xfId="0" applyNumberFormat="1" applyFont="1" applyFill="1" applyBorder="1" applyAlignment="1">
      <alignment horizontal="center" vertical="center" wrapText="1"/>
    </xf>
    <xf numFmtId="3" fontId="27" fillId="15" borderId="11" xfId="0" applyNumberFormat="1" applyFont="1" applyFill="1" applyBorder="1" applyAlignment="1">
      <alignment horizontal="center" vertical="center" wrapText="1"/>
    </xf>
    <xf numFmtId="3" fontId="5" fillId="10" borderId="11" xfId="0" applyNumberFormat="1" applyFont="1" applyFill="1" applyBorder="1" applyAlignment="1">
      <alignment horizontal="center" vertical="center" wrapText="1"/>
    </xf>
    <xf numFmtId="3" fontId="11" fillId="0" borderId="6" xfId="0" applyNumberFormat="1" applyFont="1" applyBorder="1" applyAlignment="1">
      <alignment horizontal="left" vertical="center" wrapText="1"/>
    </xf>
    <xf numFmtId="0" fontId="23" fillId="0" borderId="6" xfId="0" applyFont="1" applyBorder="1" applyAlignment="1">
      <alignment vertical="top" wrapText="1"/>
    </xf>
    <xf numFmtId="3" fontId="21" fillId="0" borderId="1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0" fillId="0" borderId="32" xfId="0" applyFont="1" applyBorder="1" applyAlignment="1">
      <alignment horizontal="center" vertical="center" wrapText="1"/>
    </xf>
    <xf numFmtId="3" fontId="9" fillId="4" borderId="6" xfId="0" applyNumberFormat="1" applyFont="1" applyFill="1" applyBorder="1" applyAlignment="1">
      <alignment horizontal="center" vertical="center" wrapText="1"/>
    </xf>
    <xf numFmtId="3" fontId="14" fillId="0" borderId="6" xfId="0" applyNumberFormat="1" applyFont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9" fillId="4" borderId="2" xfId="0" applyNumberFormat="1" applyFont="1" applyFill="1" applyBorder="1" applyAlignment="1">
      <alignment horizontal="center" vertical="center" wrapText="1"/>
    </xf>
    <xf numFmtId="3" fontId="14" fillId="0" borderId="7" xfId="0" applyNumberFormat="1" applyFont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3" fontId="14" fillId="0" borderId="8" xfId="0" applyNumberFormat="1" applyFont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16" fillId="7" borderId="13" xfId="0" applyFont="1" applyFill="1" applyBorder="1" applyAlignment="1">
      <alignment horizontal="center" vertical="center" wrapText="1"/>
    </xf>
    <xf numFmtId="0" fontId="16" fillId="7" borderId="15" xfId="0" applyFont="1" applyFill="1" applyBorder="1" applyAlignment="1">
      <alignment horizontal="center" vertical="center" wrapText="1"/>
    </xf>
    <xf numFmtId="0" fontId="16" fillId="7" borderId="14" xfId="0" applyFont="1" applyFill="1" applyBorder="1" applyAlignment="1">
      <alignment horizontal="center" vertical="center" wrapText="1"/>
    </xf>
    <xf numFmtId="0" fontId="16" fillId="7" borderId="16" xfId="0" applyFont="1" applyFill="1" applyBorder="1" applyAlignment="1">
      <alignment horizontal="center" vertical="center" wrapText="1"/>
    </xf>
    <xf numFmtId="0" fontId="11" fillId="10" borderId="20" xfId="0" applyFont="1" applyFill="1" applyBorder="1" applyAlignment="1">
      <alignment horizontal="left" vertical="center" wrapText="1"/>
    </xf>
    <xf numFmtId="0" fontId="11" fillId="10" borderId="21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left" vertical="center" wrapText="1"/>
    </xf>
    <xf numFmtId="0" fontId="5" fillId="4" borderId="23" xfId="0" applyFont="1" applyFill="1" applyBorder="1" applyAlignment="1">
      <alignment horizontal="left" vertical="center" wrapText="1"/>
    </xf>
    <xf numFmtId="0" fontId="11" fillId="11" borderId="20" xfId="0" applyFont="1" applyFill="1" applyBorder="1" applyAlignment="1">
      <alignment horizontal="left" vertical="center" wrapText="1"/>
    </xf>
    <xf numFmtId="0" fontId="11" fillId="11" borderId="21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11" fillId="0" borderId="11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11" fillId="12" borderId="30" xfId="0" applyFont="1" applyFill="1" applyBorder="1" applyAlignment="1">
      <alignment horizontal="left" vertical="center" wrapText="1"/>
    </xf>
    <xf numFmtId="0" fontId="11" fillId="12" borderId="28" xfId="0" applyFont="1" applyFill="1" applyBorder="1" applyAlignment="1">
      <alignment horizontal="left" vertical="center" wrapText="1"/>
    </xf>
    <xf numFmtId="0" fontId="31" fillId="7" borderId="10" xfId="0" applyFont="1" applyFill="1" applyBorder="1" applyAlignment="1">
      <alignment horizontal="center" vertical="center" wrapText="1"/>
    </xf>
    <xf numFmtId="0" fontId="31" fillId="7" borderId="15" xfId="0" applyFont="1" applyFill="1" applyBorder="1" applyAlignment="1">
      <alignment horizontal="center" vertical="center" wrapText="1"/>
    </xf>
    <xf numFmtId="0" fontId="16" fillId="7" borderId="9" xfId="0" applyFont="1" applyFill="1" applyBorder="1" applyAlignment="1">
      <alignment horizontal="center" vertical="center" wrapText="1"/>
    </xf>
    <xf numFmtId="0" fontId="16" fillId="7" borderId="10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 wrapText="1"/>
    </xf>
    <xf numFmtId="0" fontId="16" fillId="7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6" fillId="7" borderId="26" xfId="0" applyFont="1" applyFill="1" applyBorder="1" applyAlignment="1">
      <alignment horizontal="center" vertical="center" wrapText="1"/>
    </xf>
    <xf numFmtId="0" fontId="16" fillId="7" borderId="6" xfId="0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16" fillId="7" borderId="8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 wrapText="1"/>
    </xf>
    <xf numFmtId="0" fontId="17" fillId="7" borderId="8" xfId="0" applyFont="1" applyFill="1" applyBorder="1" applyAlignment="1">
      <alignment horizontal="center" vertical="center" wrapText="1"/>
    </xf>
    <xf numFmtId="0" fontId="17" fillId="7" borderId="19" xfId="0" applyFont="1" applyFill="1" applyBorder="1" applyAlignment="1">
      <alignment horizontal="center" vertical="center" wrapText="1"/>
    </xf>
    <xf numFmtId="0" fontId="16" fillId="7" borderId="3" xfId="0" applyFont="1" applyFill="1" applyBorder="1" applyAlignment="1">
      <alignment horizontal="center" vertical="center" wrapText="1"/>
    </xf>
    <xf numFmtId="0" fontId="16" fillId="7" borderId="4" xfId="0" applyFont="1" applyFill="1" applyBorder="1" applyAlignment="1">
      <alignment horizontal="center" vertical="center" wrapText="1"/>
    </xf>
    <xf numFmtId="0" fontId="16" fillId="7" borderId="5" xfId="0" applyFont="1" applyFill="1" applyBorder="1" applyAlignment="1">
      <alignment horizontal="center" vertical="center" wrapText="1"/>
    </xf>
    <xf numFmtId="0" fontId="31" fillId="7" borderId="2" xfId="0" applyFont="1" applyFill="1" applyBorder="1" applyAlignment="1">
      <alignment horizontal="center" vertical="center" wrapText="1"/>
    </xf>
    <xf numFmtId="0" fontId="30" fillId="7" borderId="3" xfId="0" applyFont="1" applyFill="1" applyBorder="1" applyAlignment="1">
      <alignment horizontal="center" vertical="center" wrapText="1"/>
    </xf>
    <xf numFmtId="0" fontId="30" fillId="7" borderId="4" xfId="0" applyFont="1" applyFill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 wrapText="1"/>
    </xf>
    <xf numFmtId="0" fontId="32" fillId="15" borderId="6" xfId="0" applyFont="1" applyFill="1" applyBorder="1" applyAlignment="1">
      <alignment horizontal="center" vertical="center" wrapText="1"/>
    </xf>
    <xf numFmtId="0" fontId="39" fillId="16" borderId="6" xfId="0" applyFont="1" applyFill="1" applyBorder="1" applyAlignment="1">
      <alignment horizontal="center" vertical="center" wrapText="1"/>
    </xf>
    <xf numFmtId="0" fontId="16" fillId="7" borderId="0" xfId="0" applyFont="1" applyFill="1" applyAlignment="1">
      <alignment horizontal="center" vertical="center" wrapText="1"/>
    </xf>
    <xf numFmtId="0" fontId="16" fillId="7" borderId="24" xfId="0" applyFont="1" applyFill="1" applyBorder="1" applyAlignment="1">
      <alignment horizontal="center" vertical="center" wrapText="1"/>
    </xf>
    <xf numFmtId="0" fontId="16" fillId="7" borderId="12" xfId="0" applyFont="1" applyFill="1" applyBorder="1" applyAlignment="1">
      <alignment horizontal="center" vertical="center" wrapText="1"/>
    </xf>
    <xf numFmtId="0" fontId="34" fillId="10" borderId="4" xfId="0" applyFont="1" applyFill="1" applyBorder="1" applyAlignment="1">
      <alignment horizontal="center" vertical="center" wrapText="1"/>
    </xf>
    <xf numFmtId="0" fontId="40" fillId="17" borderId="4" xfId="0" applyFont="1" applyFill="1" applyBorder="1" applyAlignment="1">
      <alignment horizontal="center" vertical="center" wrapText="1"/>
    </xf>
    <xf numFmtId="0" fontId="32" fillId="10" borderId="6" xfId="0" applyFont="1" applyFill="1" applyBorder="1" applyAlignment="1">
      <alignment horizontal="center" vertical="center" wrapText="1"/>
    </xf>
    <xf numFmtId="0" fontId="50" fillId="14" borderId="36" xfId="0" applyFont="1" applyFill="1" applyBorder="1" applyAlignment="1">
      <alignment horizontal="center" vertical="center"/>
    </xf>
    <xf numFmtId="0" fontId="50" fillId="14" borderId="37" xfId="0" applyFont="1" applyFill="1" applyBorder="1" applyAlignment="1">
      <alignment horizontal="center" vertical="center"/>
    </xf>
    <xf numFmtId="0" fontId="50" fillId="14" borderId="38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2"/>
  <sheetViews>
    <sheetView workbookViewId="0">
      <selection activeCell="E17" sqref="E17"/>
    </sheetView>
  </sheetViews>
  <sheetFormatPr defaultColWidth="10" defaultRowHeight="12.5" x14ac:dyDescent="0.25"/>
  <cols>
    <col min="1" max="3" width="23.453125" customWidth="1"/>
    <col min="4" max="4" width="16.453125" customWidth="1"/>
    <col min="5" max="5" width="16.81640625" customWidth="1"/>
    <col min="6" max="6" width="19" customWidth="1"/>
    <col min="7" max="8" width="16.453125" customWidth="1"/>
    <col min="9" max="9" width="18.453125" customWidth="1"/>
    <col min="10" max="10" width="13.453125" customWidth="1"/>
    <col min="12" max="13" width="11.453125" bestFit="1" customWidth="1"/>
  </cols>
  <sheetData>
    <row r="1" spans="1:27" ht="13" x14ac:dyDescent="0.25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3" x14ac:dyDescent="0.25">
      <c r="A2" s="175" t="s">
        <v>5</v>
      </c>
      <c r="B2" s="175"/>
      <c r="C2" s="175"/>
      <c r="D2" s="175"/>
      <c r="E2" s="175"/>
      <c r="F2" s="175"/>
      <c r="G2" s="175"/>
      <c r="H2" s="175"/>
      <c r="I2" s="175"/>
      <c r="J2" s="17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3" x14ac:dyDescent="0.25">
      <c r="A3" s="176" t="s">
        <v>1</v>
      </c>
      <c r="B3" s="176"/>
      <c r="C3" s="176"/>
      <c r="D3" s="177"/>
      <c r="E3" s="177"/>
      <c r="F3" s="177"/>
      <c r="G3" s="177"/>
      <c r="H3" s="177"/>
      <c r="I3" s="177"/>
      <c r="J3" s="177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48.25" customHeight="1" x14ac:dyDescent="0.25">
      <c r="A4" s="178" t="s">
        <v>4</v>
      </c>
      <c r="B4" s="171" t="s">
        <v>23</v>
      </c>
      <c r="C4" s="180"/>
      <c r="D4" s="178" t="s">
        <v>2</v>
      </c>
      <c r="E4" s="178"/>
      <c r="F4" s="178"/>
      <c r="G4" s="171" t="s">
        <v>18</v>
      </c>
      <c r="H4" s="172"/>
      <c r="I4" s="172"/>
      <c r="J4" s="173"/>
      <c r="K4" s="1"/>
      <c r="L4" s="1"/>
      <c r="M4" s="1">
        <v>0.85</v>
      </c>
      <c r="N4" s="1">
        <v>0.15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57.75" customHeight="1" x14ac:dyDescent="0.25">
      <c r="A5" s="179"/>
      <c r="B5" s="10" t="s">
        <v>19</v>
      </c>
      <c r="C5" s="10" t="s">
        <v>21</v>
      </c>
      <c r="D5" s="10" t="s">
        <v>6</v>
      </c>
      <c r="E5" s="10" t="s">
        <v>7</v>
      </c>
      <c r="F5" s="10" t="s">
        <v>8</v>
      </c>
      <c r="G5" s="10">
        <v>2024</v>
      </c>
      <c r="H5" s="10">
        <v>2025</v>
      </c>
      <c r="I5" s="10">
        <v>2026</v>
      </c>
      <c r="J5" s="10">
        <v>2027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25" x14ac:dyDescent="0.25">
      <c r="A6" s="167" t="s">
        <v>9</v>
      </c>
      <c r="B6" s="13" t="s">
        <v>20</v>
      </c>
      <c r="C6" s="12">
        <v>18500000</v>
      </c>
      <c r="D6" s="165">
        <v>22000000</v>
      </c>
      <c r="E6" s="165">
        <f>D6*$M$4</f>
        <v>18700000</v>
      </c>
      <c r="F6" s="165">
        <f>D6*$N$4</f>
        <v>3300000</v>
      </c>
      <c r="G6" s="165">
        <v>3000000</v>
      </c>
      <c r="H6" s="165">
        <v>5000000</v>
      </c>
      <c r="I6" s="165">
        <v>5000000</v>
      </c>
      <c r="J6" s="165">
        <f>E6-G6-H6-I6</f>
        <v>5700000</v>
      </c>
      <c r="K6" s="1"/>
      <c r="L6" s="7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25" x14ac:dyDescent="0.25">
      <c r="A7" s="168"/>
      <c r="B7" s="13" t="s">
        <v>24</v>
      </c>
      <c r="C7" s="12">
        <v>3500000</v>
      </c>
      <c r="D7" s="166"/>
      <c r="E7" s="166"/>
      <c r="F7" s="166"/>
      <c r="G7" s="166"/>
      <c r="H7" s="166"/>
      <c r="I7" s="166"/>
      <c r="J7" s="166"/>
      <c r="K7" s="1"/>
      <c r="L7" s="7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x14ac:dyDescent="0.25">
      <c r="A8" s="167" t="s">
        <v>22</v>
      </c>
      <c r="B8" s="13" t="s">
        <v>25</v>
      </c>
      <c r="C8" s="12">
        <v>2000000</v>
      </c>
      <c r="D8" s="165">
        <v>6000000</v>
      </c>
      <c r="E8" s="165">
        <f>D8*$M$4</f>
        <v>5100000</v>
      </c>
      <c r="F8" s="165">
        <f>D8*$N$4</f>
        <v>900000</v>
      </c>
      <c r="G8" s="165">
        <v>1000000</v>
      </c>
      <c r="H8" s="165">
        <v>1500000</v>
      </c>
      <c r="I8" s="165">
        <v>1500000</v>
      </c>
      <c r="J8" s="165">
        <f>E8-G8-H8-I8</f>
        <v>1100000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x14ac:dyDescent="0.25">
      <c r="A9" s="168"/>
      <c r="B9" s="13" t="s">
        <v>26</v>
      </c>
      <c r="C9" s="12">
        <v>4000000</v>
      </c>
      <c r="D9" s="170"/>
      <c r="E9" s="170"/>
      <c r="F9" s="170"/>
      <c r="G9" s="170"/>
      <c r="H9" s="170"/>
      <c r="I9" s="170"/>
      <c r="J9" s="170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x14ac:dyDescent="0.25">
      <c r="A10" s="167" t="s">
        <v>27</v>
      </c>
      <c r="B10" s="13" t="s">
        <v>25</v>
      </c>
      <c r="C10" s="16">
        <v>1500000</v>
      </c>
      <c r="D10" s="161">
        <v>10500000</v>
      </c>
      <c r="E10" s="161">
        <f>D10*$M$4</f>
        <v>8925000</v>
      </c>
      <c r="F10" s="161">
        <f>D10*$N$4</f>
        <v>1575000</v>
      </c>
      <c r="G10" s="161">
        <v>800000</v>
      </c>
      <c r="H10" s="161">
        <v>2000000</v>
      </c>
      <c r="I10" s="161">
        <v>2000000</v>
      </c>
      <c r="J10" s="161">
        <f>E10-G10-H10-I10</f>
        <v>4125000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x14ac:dyDescent="0.25">
      <c r="A11" s="169"/>
      <c r="B11" s="13" t="s">
        <v>28</v>
      </c>
      <c r="C11" s="16">
        <v>3800000</v>
      </c>
      <c r="D11" s="162"/>
      <c r="E11" s="162"/>
      <c r="F11" s="162"/>
      <c r="G11" s="162"/>
      <c r="H11" s="162"/>
      <c r="I11" s="162"/>
      <c r="J11" s="162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25" x14ac:dyDescent="0.25">
      <c r="A12" s="169"/>
      <c r="B12" s="13" t="s">
        <v>29</v>
      </c>
      <c r="C12" s="16">
        <v>200000</v>
      </c>
      <c r="D12" s="162"/>
      <c r="E12" s="162"/>
      <c r="F12" s="162"/>
      <c r="G12" s="162"/>
      <c r="H12" s="162"/>
      <c r="I12" s="162"/>
      <c r="J12" s="162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x14ac:dyDescent="0.25">
      <c r="A13" s="169"/>
      <c r="B13" s="13" t="s">
        <v>26</v>
      </c>
      <c r="C13" s="16">
        <v>3000000</v>
      </c>
      <c r="D13" s="162"/>
      <c r="E13" s="162"/>
      <c r="F13" s="162"/>
      <c r="G13" s="162"/>
      <c r="H13" s="162"/>
      <c r="I13" s="162"/>
      <c r="J13" s="162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x14ac:dyDescent="0.25">
      <c r="A14" s="168"/>
      <c r="B14" s="13" t="s">
        <v>25</v>
      </c>
      <c r="C14" s="16">
        <v>2000000</v>
      </c>
      <c r="D14" s="162"/>
      <c r="E14" s="162"/>
      <c r="F14" s="162"/>
      <c r="G14" s="162"/>
      <c r="H14" s="162"/>
      <c r="I14" s="162"/>
      <c r="J14" s="162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x14ac:dyDescent="0.25">
      <c r="A15" s="163" t="s">
        <v>30</v>
      </c>
      <c r="B15" s="17" t="s">
        <v>28</v>
      </c>
      <c r="C15" s="18">
        <f>5500000*0.95</f>
        <v>5225000</v>
      </c>
      <c r="D15" s="161">
        <v>5500000</v>
      </c>
      <c r="E15" s="161">
        <f>D15*$M$4</f>
        <v>4675000</v>
      </c>
      <c r="F15" s="161">
        <f>D15*$N$4</f>
        <v>825000</v>
      </c>
      <c r="G15" s="161">
        <v>0</v>
      </c>
      <c r="H15" s="161">
        <v>0</v>
      </c>
      <c r="I15" s="161">
        <v>2500000</v>
      </c>
      <c r="J15" s="161">
        <f>E15-G15-H15-I15</f>
        <v>2175000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25" x14ac:dyDescent="0.25">
      <c r="A16" s="164"/>
      <c r="B16" s="19" t="s">
        <v>29</v>
      </c>
      <c r="C16" s="20">
        <f>D15-C15</f>
        <v>275000</v>
      </c>
      <c r="D16" s="162"/>
      <c r="E16" s="162"/>
      <c r="F16" s="162"/>
      <c r="G16" s="162"/>
      <c r="H16" s="162"/>
      <c r="I16" s="162"/>
      <c r="J16" s="162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37.5" x14ac:dyDescent="0.25">
      <c r="A17" s="15" t="s">
        <v>31</v>
      </c>
      <c r="B17" s="13" t="s">
        <v>32</v>
      </c>
      <c r="C17" s="12">
        <v>3060000</v>
      </c>
      <c r="D17" s="12">
        <v>3060000</v>
      </c>
      <c r="E17" s="12">
        <v>2600000</v>
      </c>
      <c r="F17" s="12">
        <f>D17-E17</f>
        <v>460000</v>
      </c>
      <c r="G17" s="12">
        <v>700000</v>
      </c>
      <c r="H17" s="12">
        <v>700000</v>
      </c>
      <c r="I17" s="12">
        <v>700000</v>
      </c>
      <c r="J17" s="12">
        <f>E17-G17-H17-I17</f>
        <v>500000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42.75" customHeight="1" x14ac:dyDescent="0.25">
      <c r="A18" s="11" t="s">
        <v>3</v>
      </c>
      <c r="B18" s="11"/>
      <c r="C18" s="11"/>
      <c r="D18" s="21">
        <f t="shared" ref="D18:J18" si="0">D6+D8+D9+D10+D15+D17</f>
        <v>47060000</v>
      </c>
      <c r="E18" s="21">
        <f t="shared" si="0"/>
        <v>40000000</v>
      </c>
      <c r="F18" s="21">
        <f t="shared" si="0"/>
        <v>7060000</v>
      </c>
      <c r="G18" s="14">
        <f t="shared" si="0"/>
        <v>5500000</v>
      </c>
      <c r="H18" s="14">
        <f t="shared" si="0"/>
        <v>9200000</v>
      </c>
      <c r="I18" s="14">
        <f t="shared" si="0"/>
        <v>11700000</v>
      </c>
      <c r="J18" s="14">
        <f t="shared" si="0"/>
        <v>13600000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x14ac:dyDescent="0.25">
      <c r="A22" s="1"/>
      <c r="B22" s="1"/>
      <c r="C22" s="1"/>
      <c r="D22" s="1"/>
      <c r="E22" s="9">
        <f>E18/D18</f>
        <v>0.84997875053123695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x14ac:dyDescent="0.25">
      <c r="A23" s="1"/>
      <c r="B23" s="1"/>
      <c r="C23" s="1"/>
      <c r="D23" s="1"/>
      <c r="E23" s="9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x14ac:dyDescent="0.25">
      <c r="A24" s="1"/>
      <c r="B24" s="1"/>
      <c r="C24" s="1"/>
      <c r="D24" s="1"/>
      <c r="E24" s="9">
        <v>0.85836909871244604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</sheetData>
  <mergeCells count="39">
    <mergeCell ref="H6:H7"/>
    <mergeCell ref="A6:A7"/>
    <mergeCell ref="D6:D7"/>
    <mergeCell ref="E6:E7"/>
    <mergeCell ref="F6:F7"/>
    <mergeCell ref="G6:G7"/>
    <mergeCell ref="G4:J4"/>
    <mergeCell ref="A1:J1"/>
    <mergeCell ref="A2:J2"/>
    <mergeCell ref="A3:J3"/>
    <mergeCell ref="A4:A5"/>
    <mergeCell ref="D4:F4"/>
    <mergeCell ref="B4:C4"/>
    <mergeCell ref="I6:I7"/>
    <mergeCell ref="J6:J7"/>
    <mergeCell ref="A8:A9"/>
    <mergeCell ref="A10:A14"/>
    <mergeCell ref="D8:D9"/>
    <mergeCell ref="E8:E9"/>
    <mergeCell ref="F8:F9"/>
    <mergeCell ref="G8:G9"/>
    <mergeCell ref="H8:H9"/>
    <mergeCell ref="I8:I9"/>
    <mergeCell ref="J8:J9"/>
    <mergeCell ref="D10:D14"/>
    <mergeCell ref="E10:E14"/>
    <mergeCell ref="F10:F14"/>
    <mergeCell ref="G10:G14"/>
    <mergeCell ref="H10:H14"/>
    <mergeCell ref="I10:I14"/>
    <mergeCell ref="J10:J14"/>
    <mergeCell ref="A15:A16"/>
    <mergeCell ref="D15:D16"/>
    <mergeCell ref="E15:E16"/>
    <mergeCell ref="F15:F16"/>
    <mergeCell ref="G15:G16"/>
    <mergeCell ref="H15:H16"/>
    <mergeCell ref="I15:I16"/>
    <mergeCell ref="J15:J16"/>
  </mergeCells>
  <phoneticPr fontId="0" type="noConversion"/>
  <pageMargins left="0.39374999999999999" right="0.39374999999999999" top="0.39374999999999999" bottom="0.39374999999999999" header="0.39374999999999999" footer="0.39374999999999999"/>
  <pageSetup scale="80" fitToWidth="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66"/>
  <sheetViews>
    <sheetView workbookViewId="0">
      <selection activeCell="D36" sqref="D36"/>
    </sheetView>
  </sheetViews>
  <sheetFormatPr defaultColWidth="10" defaultRowHeight="12.5" x14ac:dyDescent="0.25"/>
  <cols>
    <col min="1" max="1" width="23.453125" customWidth="1"/>
    <col min="2" max="2" width="16.453125" customWidth="1"/>
    <col min="3" max="3" width="16.81640625" customWidth="1"/>
    <col min="4" max="6" width="16.453125" customWidth="1"/>
    <col min="7" max="7" width="18.453125" customWidth="1"/>
    <col min="8" max="8" width="13.453125" customWidth="1"/>
    <col min="10" max="11" width="11.453125" bestFit="1" customWidth="1"/>
  </cols>
  <sheetData>
    <row r="1" spans="1:25" x14ac:dyDescent="0.25">
      <c r="A1" s="184" t="s">
        <v>0</v>
      </c>
      <c r="B1" s="185"/>
      <c r="C1" s="185"/>
      <c r="D1" s="185"/>
      <c r="E1" s="185"/>
      <c r="F1" s="185"/>
      <c r="G1" s="185"/>
      <c r="H1" s="18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5">
      <c r="A2" s="186" t="s">
        <v>5</v>
      </c>
      <c r="B2" s="187"/>
      <c r="C2" s="187"/>
      <c r="D2" s="187"/>
      <c r="E2" s="187"/>
      <c r="F2" s="187"/>
      <c r="G2" s="187"/>
      <c r="H2" s="18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5">
      <c r="A3" s="188" t="s">
        <v>1</v>
      </c>
      <c r="B3" s="189"/>
      <c r="C3" s="189"/>
      <c r="D3" s="189"/>
      <c r="E3" s="189"/>
      <c r="F3" s="189"/>
      <c r="G3" s="189"/>
      <c r="H3" s="18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" customHeight="1" x14ac:dyDescent="0.25">
      <c r="A4" s="190" t="s">
        <v>16</v>
      </c>
      <c r="B4" s="190" t="s">
        <v>2</v>
      </c>
      <c r="C4" s="190"/>
      <c r="D4" s="190"/>
      <c r="E4" s="181" t="s">
        <v>7</v>
      </c>
      <c r="F4" s="182"/>
      <c r="G4" s="182"/>
      <c r="H4" s="183"/>
      <c r="I4" s="1"/>
      <c r="J4" s="9"/>
      <c r="K4" s="9">
        <v>0.85</v>
      </c>
      <c r="L4" s="9">
        <v>0.15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57.75" customHeight="1" x14ac:dyDescent="0.25">
      <c r="A5" s="191"/>
      <c r="B5" s="2" t="s">
        <v>6</v>
      </c>
      <c r="C5" s="2" t="s">
        <v>7</v>
      </c>
      <c r="D5" s="2" t="s">
        <v>8</v>
      </c>
      <c r="E5" s="2">
        <v>2024</v>
      </c>
      <c r="F5" s="2">
        <v>2025</v>
      </c>
      <c r="G5" s="2">
        <v>2026</v>
      </c>
      <c r="H5" s="2">
        <v>2027</v>
      </c>
      <c r="I5" s="1"/>
      <c r="J5" s="9"/>
      <c r="K5" s="9">
        <f>C11/B11</f>
        <v>0.84967320261437895</v>
      </c>
      <c r="L5" s="9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3" x14ac:dyDescent="0.25">
      <c r="A6" s="6" t="s">
        <v>10</v>
      </c>
      <c r="B6" s="4">
        <v>22000000</v>
      </c>
      <c r="C6" s="4">
        <f>B6*$K$4</f>
        <v>18700000</v>
      </c>
      <c r="D6" s="4">
        <f>B6*$L$4</f>
        <v>3300000</v>
      </c>
      <c r="E6" s="4">
        <v>3000000</v>
      </c>
      <c r="F6" s="4">
        <v>5000000</v>
      </c>
      <c r="G6" s="4">
        <v>5000000</v>
      </c>
      <c r="H6" s="4">
        <f t="shared" ref="H6:H11" si="0">C6-E6-F6-G6</f>
        <v>5700000</v>
      </c>
      <c r="I6" s="1"/>
      <c r="J6" s="7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3" x14ac:dyDescent="0.25">
      <c r="A7" s="6" t="s">
        <v>11</v>
      </c>
      <c r="B7" s="4">
        <v>6000000</v>
      </c>
      <c r="C7" s="4">
        <f>B7*$K$4</f>
        <v>5100000</v>
      </c>
      <c r="D7" s="4">
        <f>B7*$L$4</f>
        <v>900000</v>
      </c>
      <c r="E7" s="4">
        <v>1000000</v>
      </c>
      <c r="F7" s="4">
        <v>1500000</v>
      </c>
      <c r="G7" s="4">
        <v>1500000</v>
      </c>
      <c r="H7" s="4">
        <f t="shared" si="0"/>
        <v>1100000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3" x14ac:dyDescent="0.25">
      <c r="A8" s="6" t="s">
        <v>12</v>
      </c>
      <c r="B8" s="4">
        <v>2500000</v>
      </c>
      <c r="C8" s="4">
        <f>B8*$K$4</f>
        <v>2125000</v>
      </c>
      <c r="D8" s="4">
        <f>B8*$L$4</f>
        <v>375000</v>
      </c>
      <c r="E8" s="4">
        <v>500000</v>
      </c>
      <c r="F8" s="4">
        <v>500000</v>
      </c>
      <c r="G8" s="4">
        <v>500000</v>
      </c>
      <c r="H8" s="4">
        <f t="shared" si="0"/>
        <v>625000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3" x14ac:dyDescent="0.25">
      <c r="A9" s="6" t="s">
        <v>13</v>
      </c>
      <c r="B9" s="4">
        <v>8000000</v>
      </c>
      <c r="C9" s="4">
        <f>B9*$K$4</f>
        <v>6800000</v>
      </c>
      <c r="D9" s="4">
        <f>B9*$L$4</f>
        <v>1200000</v>
      </c>
      <c r="E9" s="4">
        <v>800000</v>
      </c>
      <c r="F9" s="4">
        <v>2000000</v>
      </c>
      <c r="G9" s="4">
        <v>2000000</v>
      </c>
      <c r="H9" s="4">
        <f t="shared" si="0"/>
        <v>2000000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3" x14ac:dyDescent="0.25">
      <c r="A10" s="6" t="s">
        <v>14</v>
      </c>
      <c r="B10" s="4">
        <v>5500000</v>
      </c>
      <c r="C10" s="4">
        <f>B10*$K$4</f>
        <v>4675000</v>
      </c>
      <c r="D10" s="4">
        <f>B10*$L$4</f>
        <v>825000</v>
      </c>
      <c r="E10" s="4">
        <v>0</v>
      </c>
      <c r="F10" s="4">
        <v>0</v>
      </c>
      <c r="G10" s="4">
        <v>2500000</v>
      </c>
      <c r="H10" s="4">
        <f t="shared" si="0"/>
        <v>2175000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3" x14ac:dyDescent="0.25">
      <c r="A11" s="6" t="s">
        <v>15</v>
      </c>
      <c r="B11" s="4">
        <f>C11+D11</f>
        <v>3060000</v>
      </c>
      <c r="C11" s="4">
        <v>2600000</v>
      </c>
      <c r="D11" s="4">
        <f>'IPA III 2024-2027 Actions'!F17</f>
        <v>460000</v>
      </c>
      <c r="E11" s="4">
        <v>700000</v>
      </c>
      <c r="F11" s="4">
        <v>700000</v>
      </c>
      <c r="G11" s="8">
        <v>700000</v>
      </c>
      <c r="H11" s="8">
        <f t="shared" si="0"/>
        <v>500000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.75" customHeight="1" x14ac:dyDescent="0.25">
      <c r="A12" s="3" t="s">
        <v>3</v>
      </c>
      <c r="B12" s="5">
        <f t="shared" ref="B12:H12" si="1">B6+B7+B8+B9+B10+B11</f>
        <v>47060000</v>
      </c>
      <c r="C12" s="5">
        <f t="shared" si="1"/>
        <v>40000000</v>
      </c>
      <c r="D12" s="5">
        <f t="shared" si="1"/>
        <v>7060000</v>
      </c>
      <c r="E12" s="5">
        <f t="shared" si="1"/>
        <v>6000000</v>
      </c>
      <c r="F12" s="5">
        <f t="shared" si="1"/>
        <v>9700000</v>
      </c>
      <c r="G12" s="5">
        <f t="shared" si="1"/>
        <v>12200000</v>
      </c>
      <c r="H12" s="5">
        <f t="shared" si="1"/>
        <v>12100000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2.75" customHeight="1" x14ac:dyDescent="0.25">
      <c r="A16" s="1"/>
      <c r="B16" s="1"/>
      <c r="C16" s="1"/>
      <c r="D16" s="1"/>
      <c r="E16" s="181" t="s">
        <v>17</v>
      </c>
      <c r="F16" s="182"/>
      <c r="G16" s="182"/>
      <c r="H16" s="18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x14ac:dyDescent="0.25">
      <c r="A17" s="1"/>
      <c r="B17" s="1"/>
      <c r="C17" s="1"/>
      <c r="D17" s="1"/>
      <c r="E17" s="2">
        <v>2024</v>
      </c>
      <c r="F17" s="2">
        <v>2025</v>
      </c>
      <c r="G17" s="2">
        <v>2026</v>
      </c>
      <c r="H17" s="2">
        <v>2027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x14ac:dyDescent="0.25">
      <c r="A18" s="1"/>
      <c r="B18" s="1"/>
      <c r="C18" s="1"/>
      <c r="D18" s="1"/>
      <c r="E18" s="4">
        <f t="shared" ref="E18:H22" si="2">E6/$K$4</f>
        <v>3529412</v>
      </c>
      <c r="F18" s="4">
        <f t="shared" si="2"/>
        <v>5882353</v>
      </c>
      <c r="G18" s="4">
        <f t="shared" si="2"/>
        <v>5882353</v>
      </c>
      <c r="H18" s="4">
        <f t="shared" si="2"/>
        <v>6705882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x14ac:dyDescent="0.25">
      <c r="A19" s="1"/>
      <c r="B19" s="1"/>
      <c r="C19" s="1"/>
      <c r="D19" s="1"/>
      <c r="E19" s="4">
        <f t="shared" si="2"/>
        <v>1176471</v>
      </c>
      <c r="F19" s="4">
        <f t="shared" si="2"/>
        <v>1764706</v>
      </c>
      <c r="G19" s="4">
        <f t="shared" si="2"/>
        <v>1764706</v>
      </c>
      <c r="H19" s="4">
        <f t="shared" si="2"/>
        <v>1294118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x14ac:dyDescent="0.25">
      <c r="A20" s="1"/>
      <c r="B20" s="1"/>
      <c r="C20" s="1"/>
      <c r="D20" s="1"/>
      <c r="E20" s="4">
        <f t="shared" si="2"/>
        <v>588235</v>
      </c>
      <c r="F20" s="4">
        <f t="shared" si="2"/>
        <v>588235</v>
      </c>
      <c r="G20" s="4">
        <f t="shared" si="2"/>
        <v>588235</v>
      </c>
      <c r="H20" s="4">
        <f t="shared" si="2"/>
        <v>735294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x14ac:dyDescent="0.25">
      <c r="A21" s="1"/>
      <c r="B21" s="1"/>
      <c r="C21" s="1"/>
      <c r="D21" s="1"/>
      <c r="E21" s="4">
        <f t="shared" si="2"/>
        <v>941176</v>
      </c>
      <c r="F21" s="4">
        <f t="shared" si="2"/>
        <v>2352941</v>
      </c>
      <c r="G21" s="4">
        <f t="shared" si="2"/>
        <v>2352941</v>
      </c>
      <c r="H21" s="4">
        <f t="shared" si="2"/>
        <v>2352941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x14ac:dyDescent="0.25">
      <c r="A22" s="1"/>
      <c r="B22" s="1"/>
      <c r="C22" s="1"/>
      <c r="D22" s="1"/>
      <c r="E22" s="4">
        <f t="shared" si="2"/>
        <v>0</v>
      </c>
      <c r="F22" s="4">
        <f t="shared" si="2"/>
        <v>0</v>
      </c>
      <c r="G22" s="4">
        <f t="shared" si="2"/>
        <v>2941176</v>
      </c>
      <c r="H22" s="4">
        <f t="shared" si="2"/>
        <v>2558824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x14ac:dyDescent="0.25">
      <c r="A23" s="1"/>
      <c r="B23" s="1"/>
      <c r="C23" s="1"/>
      <c r="D23" s="1"/>
      <c r="E23" s="4">
        <f>E11/$K$5</f>
        <v>823846</v>
      </c>
      <c r="F23" s="4">
        <f>F11/$K$5</f>
        <v>823846</v>
      </c>
      <c r="G23" s="4">
        <f>G11/$K$5</f>
        <v>823846</v>
      </c>
      <c r="H23" s="4">
        <f>H11/$K$5</f>
        <v>588462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x14ac:dyDescent="0.25">
      <c r="A24" s="1"/>
      <c r="B24" s="1"/>
      <c r="C24" s="1"/>
      <c r="D24" s="1"/>
      <c r="E24" s="5">
        <f>E18+E19+E20+E21+E22+E23</f>
        <v>7059140</v>
      </c>
      <c r="F24" s="5">
        <f>F18+F19+F20+F21+F22+F23</f>
        <v>11412081</v>
      </c>
      <c r="G24" s="5">
        <f>G18+G19+G20+G21+G22+G23</f>
        <v>14353257</v>
      </c>
      <c r="H24" s="5">
        <f>H18+H19+H20+H21+H22+H23</f>
        <v>14235521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</sheetData>
  <mergeCells count="7">
    <mergeCell ref="E4:H4"/>
    <mergeCell ref="E16:H16"/>
    <mergeCell ref="A1:H1"/>
    <mergeCell ref="A2:H2"/>
    <mergeCell ref="A3:H3"/>
    <mergeCell ref="A4:A5"/>
    <mergeCell ref="B4:D4"/>
  </mergeCells>
  <phoneticPr fontId="0" type="noConversion"/>
  <pageMargins left="0.39374999999999999" right="0.39374999999999999" top="0.39374999999999999" bottom="0.39374999999999999" header="0.39374999999999999" footer="0.39374999999999999"/>
  <pageSetup scale="80" fitToWidth="0" pageOrder="overThenDown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Z27"/>
  <sheetViews>
    <sheetView tabSelected="1" topLeftCell="M1" zoomScale="40" zoomScaleNormal="40" workbookViewId="0">
      <pane ySplit="5" topLeftCell="A6" activePane="bottomLeft" state="frozen"/>
      <selection activeCell="AA1" sqref="AA1"/>
      <selection pane="bottomLeft" activeCell="AG29" sqref="AF29:AG29"/>
    </sheetView>
  </sheetViews>
  <sheetFormatPr defaultColWidth="8.81640625" defaultRowHeight="12.5" x14ac:dyDescent="0.25"/>
  <cols>
    <col min="1" max="1" width="17.453125" customWidth="1"/>
    <col min="2" max="2" width="27.1796875" customWidth="1"/>
    <col min="3" max="3" width="34.453125" customWidth="1"/>
    <col min="4" max="4" width="12.1796875" customWidth="1"/>
    <col min="5" max="5" width="14" customWidth="1"/>
    <col min="6" max="6" width="0" hidden="1" customWidth="1"/>
    <col min="7" max="7" width="16.1796875" customWidth="1"/>
    <col min="8" max="8" width="12.6328125" customWidth="1"/>
    <col min="9" max="9" width="15.453125" customWidth="1"/>
    <col min="10" max="10" width="13.1796875" customWidth="1"/>
    <col min="11" max="11" width="34.81640625" customWidth="1"/>
    <col min="12" max="12" width="16.453125" customWidth="1"/>
    <col min="13" max="13" width="16.81640625" customWidth="1"/>
    <col min="14" max="14" width="15.453125" customWidth="1"/>
    <col min="15" max="15" width="17.81640625" customWidth="1"/>
    <col min="16" max="16" width="10.6328125" customWidth="1"/>
    <col min="17" max="17" width="15.81640625" customWidth="1"/>
    <col min="18" max="18" width="17.36328125" customWidth="1"/>
    <col min="19" max="24" width="15.81640625" customWidth="1"/>
    <col min="25" max="25" width="16.453125" customWidth="1"/>
    <col min="26" max="26" width="17.81640625" customWidth="1"/>
    <col min="27" max="27" width="18.81640625" customWidth="1"/>
    <col min="28" max="28" width="16.453125" customWidth="1"/>
    <col min="29" max="29" width="17.81640625" customWidth="1"/>
    <col min="30" max="30" width="20" customWidth="1"/>
    <col min="31" max="31" width="23.7265625" customWidth="1"/>
    <col min="32" max="32" width="17.81640625" customWidth="1"/>
    <col min="33" max="33" width="19.81640625" customWidth="1"/>
    <col min="34" max="34" width="16.36328125" customWidth="1"/>
    <col min="35" max="35" width="20.26953125" customWidth="1"/>
    <col min="36" max="36" width="18.08984375" customWidth="1"/>
    <col min="37" max="37" width="18.453125" customWidth="1"/>
    <col min="38" max="38" width="18.1796875" customWidth="1"/>
    <col min="39" max="39" width="15.81640625" customWidth="1"/>
    <col min="40" max="40" width="18.453125" customWidth="1"/>
    <col min="41" max="41" width="15.81640625" customWidth="1"/>
    <col min="42" max="42" width="14.1796875" customWidth="1"/>
    <col min="43" max="52" width="15.81640625" customWidth="1"/>
  </cols>
  <sheetData>
    <row r="1" spans="1:52" x14ac:dyDescent="0.25">
      <c r="A1" s="221" t="s">
        <v>66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3"/>
      <c r="Y1" s="1"/>
      <c r="Z1" s="1"/>
      <c r="AA1" s="1"/>
      <c r="AB1" s="1"/>
      <c r="AK1" s="1"/>
      <c r="AL1" s="1"/>
      <c r="AM1" s="1"/>
      <c r="AN1" s="1"/>
      <c r="AW1" s="1"/>
      <c r="AX1" s="1"/>
      <c r="AY1" s="1"/>
      <c r="AZ1" s="1"/>
    </row>
    <row r="2" spans="1:52" ht="21" customHeight="1" x14ac:dyDescent="0.25">
      <c r="A2" s="224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6"/>
      <c r="Y2" s="1"/>
      <c r="Z2" s="1"/>
      <c r="AA2" s="1"/>
      <c r="AB2" s="1"/>
      <c r="AK2" s="1"/>
      <c r="AL2" s="1"/>
      <c r="AM2" s="1"/>
      <c r="AN2" s="1"/>
      <c r="AW2" s="1"/>
      <c r="AX2" s="1"/>
      <c r="AY2" s="1"/>
      <c r="AZ2" s="1"/>
    </row>
    <row r="3" spans="1:52" ht="37" customHeight="1" x14ac:dyDescent="0.25">
      <c r="A3" s="215" t="s">
        <v>34</v>
      </c>
      <c r="B3" s="215" t="s">
        <v>36</v>
      </c>
      <c r="C3" s="215" t="s">
        <v>39</v>
      </c>
      <c r="D3" s="228" t="s">
        <v>38</v>
      </c>
      <c r="E3" s="231" t="s">
        <v>44</v>
      </c>
      <c r="F3" s="232"/>
      <c r="G3" s="232"/>
      <c r="H3" s="232"/>
      <c r="I3" s="232"/>
      <c r="J3" s="232"/>
      <c r="K3" s="233"/>
      <c r="L3" s="234" t="s">
        <v>2</v>
      </c>
      <c r="M3" s="234"/>
      <c r="N3" s="234"/>
      <c r="O3" s="234"/>
      <c r="P3" s="56"/>
      <c r="Q3" s="235" t="s">
        <v>67</v>
      </c>
      <c r="R3" s="236"/>
      <c r="S3" s="236"/>
      <c r="T3" s="236"/>
      <c r="U3" s="237"/>
      <c r="V3" s="237"/>
      <c r="W3" s="237"/>
      <c r="X3" s="238"/>
      <c r="Y3" s="211" t="s">
        <v>68</v>
      </c>
      <c r="Z3" s="212"/>
      <c r="AA3" s="212"/>
      <c r="AB3" s="212"/>
      <c r="AC3" s="239" t="s">
        <v>72</v>
      </c>
      <c r="AD3" s="239"/>
      <c r="AE3" s="239"/>
      <c r="AF3" s="239"/>
      <c r="AG3" s="240"/>
      <c r="AH3" s="240"/>
      <c r="AI3" s="240"/>
      <c r="AJ3" s="240"/>
      <c r="AK3" s="239" t="s">
        <v>71</v>
      </c>
      <c r="AL3" s="239"/>
      <c r="AM3" s="239"/>
      <c r="AN3" s="239"/>
      <c r="AO3" s="244" t="s">
        <v>69</v>
      </c>
      <c r="AP3" s="244"/>
      <c r="AQ3" s="244"/>
      <c r="AR3" s="244"/>
      <c r="AS3" s="245"/>
      <c r="AT3" s="245"/>
      <c r="AU3" s="245"/>
      <c r="AV3" s="245"/>
      <c r="AW3" s="246" t="s">
        <v>70</v>
      </c>
      <c r="AX3" s="246"/>
      <c r="AY3" s="246"/>
      <c r="AZ3" s="246"/>
    </row>
    <row r="4" spans="1:52" ht="13" x14ac:dyDescent="0.25">
      <c r="A4" s="227"/>
      <c r="B4" s="227"/>
      <c r="C4" s="227"/>
      <c r="D4" s="229"/>
      <c r="E4" s="213" t="s">
        <v>19</v>
      </c>
      <c r="F4" s="194"/>
      <c r="G4" s="215" t="s">
        <v>49</v>
      </c>
      <c r="H4" s="215" t="s">
        <v>41</v>
      </c>
      <c r="I4" s="215" t="s">
        <v>40</v>
      </c>
      <c r="J4" s="215" t="s">
        <v>33</v>
      </c>
      <c r="K4" s="213" t="s">
        <v>37</v>
      </c>
      <c r="L4" s="219" t="s">
        <v>6</v>
      </c>
      <c r="M4" s="219" t="s">
        <v>7</v>
      </c>
      <c r="N4" s="73"/>
      <c r="O4" s="219" t="s">
        <v>8</v>
      </c>
      <c r="P4" s="73"/>
      <c r="Q4" s="192">
        <v>2025</v>
      </c>
      <c r="R4" s="192">
        <v>2026</v>
      </c>
      <c r="S4" s="192">
        <v>2027</v>
      </c>
      <c r="T4" s="194">
        <v>2028</v>
      </c>
      <c r="U4" s="215">
        <v>2029</v>
      </c>
      <c r="V4" s="215">
        <v>2030</v>
      </c>
      <c r="W4" s="215">
        <v>2031</v>
      </c>
      <c r="X4" s="215">
        <v>2032</v>
      </c>
      <c r="Y4" s="213">
        <v>2024</v>
      </c>
      <c r="Z4" s="192">
        <v>2025</v>
      </c>
      <c r="AA4" s="192">
        <v>2026</v>
      </c>
      <c r="AB4" s="194">
        <v>2027</v>
      </c>
      <c r="AC4" s="241">
        <v>2025</v>
      </c>
      <c r="AD4" s="241">
        <v>2026</v>
      </c>
      <c r="AE4" s="241">
        <v>2027</v>
      </c>
      <c r="AF4" s="242">
        <v>2028</v>
      </c>
      <c r="AG4" s="227">
        <v>2029</v>
      </c>
      <c r="AH4" s="227">
        <v>2030</v>
      </c>
      <c r="AI4" s="227">
        <v>2031</v>
      </c>
      <c r="AJ4" s="227">
        <v>2032</v>
      </c>
      <c r="AK4" s="243">
        <v>2024</v>
      </c>
      <c r="AL4" s="241">
        <v>2025</v>
      </c>
      <c r="AM4" s="241">
        <v>2026</v>
      </c>
      <c r="AN4" s="242">
        <v>2027</v>
      </c>
      <c r="AO4" s="192">
        <v>2025</v>
      </c>
      <c r="AP4" s="192">
        <v>2026</v>
      </c>
      <c r="AQ4" s="192">
        <v>2027</v>
      </c>
      <c r="AR4" s="194">
        <v>2028</v>
      </c>
      <c r="AS4" s="215">
        <v>2029</v>
      </c>
      <c r="AT4" s="215">
        <v>2030</v>
      </c>
      <c r="AU4" s="215">
        <v>2031</v>
      </c>
      <c r="AV4" s="215">
        <v>2032</v>
      </c>
      <c r="AW4" s="243">
        <v>2024</v>
      </c>
      <c r="AX4" s="241">
        <v>2025</v>
      </c>
      <c r="AY4" s="241">
        <v>2026</v>
      </c>
      <c r="AZ4" s="242">
        <v>2027</v>
      </c>
    </row>
    <row r="5" spans="1:52" ht="36.5" customHeight="1" x14ac:dyDescent="0.25">
      <c r="A5" s="220"/>
      <c r="B5" s="216"/>
      <c r="C5" s="216"/>
      <c r="D5" s="230"/>
      <c r="E5" s="214"/>
      <c r="F5" s="195"/>
      <c r="G5" s="216"/>
      <c r="H5" s="217"/>
      <c r="I5" s="216"/>
      <c r="J5" s="216"/>
      <c r="K5" s="218"/>
      <c r="L5" s="219"/>
      <c r="M5" s="219"/>
      <c r="N5" s="73" t="s">
        <v>59</v>
      </c>
      <c r="O5" s="219"/>
      <c r="P5" s="73" t="s">
        <v>60</v>
      </c>
      <c r="Q5" s="193"/>
      <c r="R5" s="193"/>
      <c r="S5" s="193"/>
      <c r="T5" s="195"/>
      <c r="U5" s="220"/>
      <c r="V5" s="220"/>
      <c r="W5" s="220"/>
      <c r="X5" s="220"/>
      <c r="Y5" s="214"/>
      <c r="Z5" s="193"/>
      <c r="AA5" s="193"/>
      <c r="AB5" s="195"/>
      <c r="AC5" s="193"/>
      <c r="AD5" s="193"/>
      <c r="AE5" s="193"/>
      <c r="AF5" s="195"/>
      <c r="AG5" s="220"/>
      <c r="AH5" s="220"/>
      <c r="AI5" s="220"/>
      <c r="AJ5" s="220"/>
      <c r="AK5" s="214"/>
      <c r="AL5" s="193"/>
      <c r="AM5" s="193"/>
      <c r="AN5" s="195"/>
      <c r="AO5" s="193"/>
      <c r="AP5" s="193"/>
      <c r="AQ5" s="193"/>
      <c r="AR5" s="195"/>
      <c r="AS5" s="220"/>
      <c r="AT5" s="220"/>
      <c r="AU5" s="220"/>
      <c r="AV5" s="220"/>
      <c r="AW5" s="214"/>
      <c r="AX5" s="193"/>
      <c r="AY5" s="193"/>
      <c r="AZ5" s="195"/>
    </row>
    <row r="6" spans="1:52" ht="13" x14ac:dyDescent="0.25">
      <c r="A6" s="196" t="s">
        <v>42</v>
      </c>
      <c r="B6" s="31"/>
      <c r="C6" s="31"/>
      <c r="D6" s="32"/>
      <c r="E6" s="33"/>
      <c r="F6" s="34">
        <f>SUM(F7:F8)</f>
        <v>0</v>
      </c>
      <c r="G6" s="35"/>
      <c r="H6" s="35"/>
      <c r="I6" s="35"/>
      <c r="J6" s="35"/>
      <c r="K6" s="66"/>
      <c r="L6" s="35">
        <f>SUM(L7:L9)</f>
        <v>30050000</v>
      </c>
      <c r="M6" s="35">
        <f>SUM(M7:M9)</f>
        <v>15915000</v>
      </c>
      <c r="N6" s="84">
        <f>M6/L6</f>
        <v>0.53</v>
      </c>
      <c r="O6" s="35">
        <f>SUM(O7:O9)</f>
        <v>14135000</v>
      </c>
      <c r="P6" s="84">
        <f t="shared" ref="P6:P22" si="0">O6/L6</f>
        <v>0.47</v>
      </c>
      <c r="Q6" s="36">
        <f>SUM(Q7:Q9)</f>
        <v>0</v>
      </c>
      <c r="R6" s="36">
        <f t="shared" ref="R6:X6" si="1">SUM(R7:R9)</f>
        <v>1210000</v>
      </c>
      <c r="S6" s="36">
        <f t="shared" si="1"/>
        <v>2227500</v>
      </c>
      <c r="T6" s="36">
        <f t="shared" si="1"/>
        <v>1187500</v>
      </c>
      <c r="U6" s="36">
        <f t="shared" si="1"/>
        <v>5987500</v>
      </c>
      <c r="V6" s="36">
        <f t="shared" si="1"/>
        <v>9837500</v>
      </c>
      <c r="W6" s="36">
        <f t="shared" si="1"/>
        <v>9600000</v>
      </c>
      <c r="X6" s="36">
        <f t="shared" si="1"/>
        <v>0</v>
      </c>
      <c r="Y6" s="36">
        <f>SUM(Y7:Y9)</f>
        <v>3437500</v>
      </c>
      <c r="Z6" s="36">
        <f t="shared" ref="Z6:AD6" si="2">SUM(Z7:Z9)</f>
        <v>1187500</v>
      </c>
      <c r="AA6" s="36">
        <f t="shared" si="2"/>
        <v>1187500</v>
      </c>
      <c r="AB6" s="36">
        <f t="shared" si="2"/>
        <v>24237500</v>
      </c>
      <c r="AC6" s="36">
        <f t="shared" si="2"/>
        <v>0</v>
      </c>
      <c r="AD6" s="36">
        <f t="shared" si="2"/>
        <v>735000</v>
      </c>
      <c r="AE6" s="36">
        <f t="shared" ref="AE6:AJ6" si="3">SUM(AE7:AE9)</f>
        <v>1633750</v>
      </c>
      <c r="AF6" s="36">
        <f t="shared" si="3"/>
        <v>593750</v>
      </c>
      <c r="AG6" s="36">
        <f t="shared" si="3"/>
        <v>3041750</v>
      </c>
      <c r="AH6" s="36">
        <f t="shared" si="3"/>
        <v>5014750</v>
      </c>
      <c r="AI6" s="36">
        <f t="shared" si="3"/>
        <v>4896000</v>
      </c>
      <c r="AJ6" s="36">
        <f t="shared" si="3"/>
        <v>0</v>
      </c>
      <c r="AK6" s="36">
        <f>SUM(AK7:AK9)</f>
        <v>2368750</v>
      </c>
      <c r="AL6" s="36">
        <f t="shared" ref="AL6:AN6" si="4">SUM(AL7:AL9)</f>
        <v>593750</v>
      </c>
      <c r="AM6" s="36">
        <f t="shared" si="4"/>
        <v>593750</v>
      </c>
      <c r="AN6" s="36">
        <f t="shared" si="4"/>
        <v>12358750</v>
      </c>
      <c r="AO6" s="36">
        <f t="shared" ref="AO6" si="5">SUM(AO7:AO9)</f>
        <v>0</v>
      </c>
      <c r="AP6" s="36">
        <f t="shared" ref="AP6" si="6">SUM(AP7:AP9)</f>
        <v>475000</v>
      </c>
      <c r="AQ6" s="36">
        <f t="shared" ref="AQ6" si="7">SUM(AQ7:AQ9)</f>
        <v>593750</v>
      </c>
      <c r="AR6" s="36">
        <f t="shared" ref="AR6" si="8">SUM(AR7:AR9)</f>
        <v>593750</v>
      </c>
      <c r="AS6" s="36">
        <f t="shared" ref="AS6" si="9">SUM(AS7:AS9)</f>
        <v>2945750</v>
      </c>
      <c r="AT6" s="36">
        <f t="shared" ref="AT6" si="10">SUM(AT7:AT9)</f>
        <v>4822750</v>
      </c>
      <c r="AU6" s="36">
        <f t="shared" ref="AU6" si="11">SUM(AU7:AU9)</f>
        <v>4704000</v>
      </c>
      <c r="AV6" s="36">
        <f t="shared" ref="AV6" si="12">SUM(AV7:AV9)</f>
        <v>0</v>
      </c>
      <c r="AW6" s="36">
        <f t="shared" ref="AW6" si="13">SUM(AW7:AW9)</f>
        <v>1068750</v>
      </c>
      <c r="AX6" s="36">
        <f t="shared" ref="AX6" si="14">SUM(AX7:AX9)</f>
        <v>593750</v>
      </c>
      <c r="AY6" s="36">
        <f t="shared" ref="AY6" si="15">SUM(AY7:AY9)</f>
        <v>593750</v>
      </c>
      <c r="AZ6" s="36">
        <f t="shared" ref="AZ6" si="16">SUM(AZ7:AZ9)</f>
        <v>11878750</v>
      </c>
    </row>
    <row r="7" spans="1:52" ht="150.5" customHeight="1" x14ac:dyDescent="0.25">
      <c r="A7" s="197"/>
      <c r="B7" s="198" t="s">
        <v>90</v>
      </c>
      <c r="C7" s="55" t="s">
        <v>103</v>
      </c>
      <c r="D7" s="24">
        <v>3</v>
      </c>
      <c r="E7" s="93" t="s">
        <v>45</v>
      </c>
      <c r="F7" s="37"/>
      <c r="G7" s="38">
        <v>12</v>
      </c>
      <c r="H7" s="38" t="s">
        <v>61</v>
      </c>
      <c r="I7" s="38" t="s">
        <v>62</v>
      </c>
      <c r="J7" s="150" t="s">
        <v>120</v>
      </c>
      <c r="K7" s="67" t="s">
        <v>83</v>
      </c>
      <c r="L7" s="74">
        <v>4750000</v>
      </c>
      <c r="M7" s="25">
        <f>L7*50/100</f>
        <v>2375000</v>
      </c>
      <c r="N7" s="75">
        <f>M7/L7</f>
        <v>0.5</v>
      </c>
      <c r="O7" s="25">
        <f>L7-M7</f>
        <v>2375000</v>
      </c>
      <c r="P7" s="75">
        <f t="shared" si="0"/>
        <v>0.5</v>
      </c>
      <c r="Q7" s="70">
        <v>0</v>
      </c>
      <c r="R7" s="58">
        <f>$L$7*20%</f>
        <v>950000</v>
      </c>
      <c r="S7" s="58">
        <f>$L$7*25%</f>
        <v>1187500</v>
      </c>
      <c r="T7" s="58">
        <f>$L$7*25%</f>
        <v>1187500</v>
      </c>
      <c r="U7" s="58">
        <f>$L$7*25%</f>
        <v>1187500</v>
      </c>
      <c r="V7" s="58">
        <f>$L$7*5%</f>
        <v>237500</v>
      </c>
      <c r="W7" s="58"/>
      <c r="X7" s="58"/>
      <c r="Y7" s="65">
        <f>Q7+R7+S7</f>
        <v>2137500</v>
      </c>
      <c r="Z7" s="65">
        <f>T7</f>
        <v>1187500</v>
      </c>
      <c r="AA7" s="65">
        <f>U7</f>
        <v>1187500</v>
      </c>
      <c r="AB7" s="65">
        <f>V7+W7+X7</f>
        <v>237500</v>
      </c>
      <c r="AC7" s="70">
        <f>Q7*$N$7</f>
        <v>0</v>
      </c>
      <c r="AD7" s="70">
        <f t="shared" ref="AD7:AJ7" si="17">R7*$N$7</f>
        <v>475000</v>
      </c>
      <c r="AE7" s="70">
        <f t="shared" si="17"/>
        <v>593750</v>
      </c>
      <c r="AF7" s="70">
        <f t="shared" si="17"/>
        <v>593750</v>
      </c>
      <c r="AG7" s="70">
        <f t="shared" si="17"/>
        <v>593750</v>
      </c>
      <c r="AH7" s="70">
        <f t="shared" si="17"/>
        <v>118750</v>
      </c>
      <c r="AI7" s="70">
        <f t="shared" si="17"/>
        <v>0</v>
      </c>
      <c r="AJ7" s="70">
        <f t="shared" si="17"/>
        <v>0</v>
      </c>
      <c r="AK7" s="79">
        <f>AC7+AD7+AE7</f>
        <v>1068750</v>
      </c>
      <c r="AL7" s="79">
        <f>AF7</f>
        <v>593750</v>
      </c>
      <c r="AM7" s="79">
        <f>AG7</f>
        <v>593750</v>
      </c>
      <c r="AN7" s="79">
        <f>AH7+AI7+AJ7</f>
        <v>118750</v>
      </c>
      <c r="AO7" s="70">
        <f>Q7*$P$7</f>
        <v>0</v>
      </c>
      <c r="AP7" s="70">
        <f t="shared" ref="AP7:AV7" si="18">R7*$P$7</f>
        <v>475000</v>
      </c>
      <c r="AQ7" s="70">
        <f t="shared" si="18"/>
        <v>593750</v>
      </c>
      <c r="AR7" s="70">
        <f t="shared" si="18"/>
        <v>593750</v>
      </c>
      <c r="AS7" s="70">
        <f t="shared" si="18"/>
        <v>593750</v>
      </c>
      <c r="AT7" s="70">
        <f t="shared" si="18"/>
        <v>118750</v>
      </c>
      <c r="AU7" s="70">
        <f t="shared" si="18"/>
        <v>0</v>
      </c>
      <c r="AV7" s="70">
        <f t="shared" si="18"/>
        <v>0</v>
      </c>
      <c r="AW7" s="80">
        <f>AO7+AP7+AQ7</f>
        <v>1068750</v>
      </c>
      <c r="AX7" s="80">
        <f>AR7</f>
        <v>593750</v>
      </c>
      <c r="AY7" s="80">
        <f>AS7</f>
        <v>593750</v>
      </c>
      <c r="AZ7" s="80">
        <f>AT7+AU7+AV7</f>
        <v>118750</v>
      </c>
    </row>
    <row r="8" spans="1:52" ht="75.5" customHeight="1" x14ac:dyDescent="0.25">
      <c r="A8" s="197"/>
      <c r="B8" s="199"/>
      <c r="C8" s="55" t="s">
        <v>92</v>
      </c>
      <c r="D8" s="24">
        <v>10</v>
      </c>
      <c r="E8" s="41" t="s">
        <v>46</v>
      </c>
      <c r="F8" s="39"/>
      <c r="G8" s="38">
        <v>12</v>
      </c>
      <c r="H8" s="95" t="s">
        <v>77</v>
      </c>
      <c r="I8" s="95" t="s">
        <v>78</v>
      </c>
      <c r="J8" s="120" t="s">
        <v>79</v>
      </c>
      <c r="K8" s="67" t="s">
        <v>63</v>
      </c>
      <c r="L8" s="25">
        <v>24000000</v>
      </c>
      <c r="M8" s="25">
        <f>L8*51/100</f>
        <v>12240000</v>
      </c>
      <c r="N8" s="75">
        <f t="shared" ref="N8:N22" si="19">M8/L8</f>
        <v>0.51</v>
      </c>
      <c r="O8" s="25">
        <f t="shared" ref="O8:O9" si="20">L8-M8</f>
        <v>11760000</v>
      </c>
      <c r="P8" s="75">
        <f t="shared" si="0"/>
        <v>0.49</v>
      </c>
      <c r="Q8" s="71">
        <v>0</v>
      </c>
      <c r="R8" s="59">
        <v>0</v>
      </c>
      <c r="S8" s="59">
        <v>0</v>
      </c>
      <c r="T8" s="59"/>
      <c r="U8" s="59">
        <f t="shared" ref="U8" si="21">$L$8*20%</f>
        <v>4800000</v>
      </c>
      <c r="V8" s="59">
        <f t="shared" ref="V8:W8" si="22">$L$8*40%</f>
        <v>9600000</v>
      </c>
      <c r="W8" s="59">
        <f t="shared" si="22"/>
        <v>9600000</v>
      </c>
      <c r="X8" s="59"/>
      <c r="Y8" s="65">
        <f t="shared" ref="Y8" si="23">Q8+R8</f>
        <v>0</v>
      </c>
      <c r="Z8" s="65">
        <f t="shared" ref="Z8" si="24">S8</f>
        <v>0</v>
      </c>
      <c r="AA8" s="65">
        <f t="shared" ref="AA8" si="25">T8</f>
        <v>0</v>
      </c>
      <c r="AB8" s="65">
        <f t="shared" ref="AB8" si="26">SUM(X8,U8,V8,W8)</f>
        <v>24000000</v>
      </c>
      <c r="AC8" s="70">
        <f t="shared" ref="AC8:AH8" si="27">Q8*$N$8</f>
        <v>0</v>
      </c>
      <c r="AD8" s="70">
        <f t="shared" si="27"/>
        <v>0</v>
      </c>
      <c r="AE8" s="70">
        <f t="shared" si="27"/>
        <v>0</v>
      </c>
      <c r="AF8" s="70">
        <f t="shared" si="27"/>
        <v>0</v>
      </c>
      <c r="AG8" s="70">
        <f t="shared" si="27"/>
        <v>2448000</v>
      </c>
      <c r="AH8" s="70">
        <f t="shared" si="27"/>
        <v>4896000</v>
      </c>
      <c r="AI8" s="71">
        <f t="shared" ref="AI8:AJ8" si="28">W8*$N$8</f>
        <v>4896000</v>
      </c>
      <c r="AJ8" s="71">
        <f t="shared" si="28"/>
        <v>0</v>
      </c>
      <c r="AK8" s="79">
        <f t="shared" ref="AK8:AK12" si="29">AC8+AD8</f>
        <v>0</v>
      </c>
      <c r="AL8" s="79">
        <f t="shared" ref="AL8:AL12" si="30">AE8</f>
        <v>0</v>
      </c>
      <c r="AM8" s="79">
        <f t="shared" ref="AM8:AM12" si="31">AF8</f>
        <v>0</v>
      </c>
      <c r="AN8" s="79">
        <f t="shared" ref="AN8:AN12" si="32">SUM(AJ8,AG8,AH8,AI8)</f>
        <v>12240000</v>
      </c>
      <c r="AO8" s="71">
        <f>Q8*$P$8</f>
        <v>0</v>
      </c>
      <c r="AP8" s="71">
        <f t="shared" ref="AP8:AV8" si="33">R8*$P$8</f>
        <v>0</v>
      </c>
      <c r="AQ8" s="71">
        <f t="shared" si="33"/>
        <v>0</v>
      </c>
      <c r="AR8" s="71">
        <f t="shared" si="33"/>
        <v>0</v>
      </c>
      <c r="AS8" s="71">
        <f t="shared" si="33"/>
        <v>2352000</v>
      </c>
      <c r="AT8" s="71">
        <f t="shared" si="33"/>
        <v>4704000</v>
      </c>
      <c r="AU8" s="71">
        <f t="shared" si="33"/>
        <v>4704000</v>
      </c>
      <c r="AV8" s="71">
        <f t="shared" si="33"/>
        <v>0</v>
      </c>
      <c r="AW8" s="80">
        <f t="shared" ref="AW8:AW9" si="34">AO8+AP8</f>
        <v>0</v>
      </c>
      <c r="AX8" s="80">
        <f t="shared" ref="AX8:AX19" si="35">AQ8</f>
        <v>0</v>
      </c>
      <c r="AY8" s="80">
        <f t="shared" ref="AY8:AY19" si="36">AR8</f>
        <v>0</v>
      </c>
      <c r="AZ8" s="80">
        <f t="shared" ref="AZ8:AZ19" si="37">SUM(AS8:AV8)</f>
        <v>11760000</v>
      </c>
    </row>
    <row r="9" spans="1:52" s="90" customFormat="1" ht="103.75" customHeight="1" x14ac:dyDescent="0.25">
      <c r="A9" s="89"/>
      <c r="B9" s="96" t="s">
        <v>91</v>
      </c>
      <c r="C9" s="117" t="s">
        <v>104</v>
      </c>
      <c r="D9" s="97">
        <v>6</v>
      </c>
      <c r="E9" s="93" t="s">
        <v>74</v>
      </c>
      <c r="F9" s="39"/>
      <c r="G9" s="38">
        <v>12</v>
      </c>
      <c r="H9" s="95" t="s">
        <v>75</v>
      </c>
      <c r="I9" s="95" t="s">
        <v>76</v>
      </c>
      <c r="J9" s="120">
        <v>24</v>
      </c>
      <c r="K9" s="67" t="s">
        <v>89</v>
      </c>
      <c r="L9" s="63">
        <v>1300000</v>
      </c>
      <c r="M9" s="63">
        <v>1300000</v>
      </c>
      <c r="N9" s="121">
        <f>M9/L9</f>
        <v>1</v>
      </c>
      <c r="O9" s="63">
        <f t="shared" si="20"/>
        <v>0</v>
      </c>
      <c r="P9" s="121">
        <f t="shared" si="0"/>
        <v>0</v>
      </c>
      <c r="Q9" s="122">
        <v>0</v>
      </c>
      <c r="R9" s="42">
        <f>$L$9*20%</f>
        <v>260000</v>
      </c>
      <c r="S9" s="42">
        <f>$L$9*80%</f>
        <v>1040000</v>
      </c>
      <c r="T9" s="42">
        <v>0</v>
      </c>
      <c r="U9" s="122">
        <v>0</v>
      </c>
      <c r="V9" s="42">
        <v>0</v>
      </c>
      <c r="W9" s="42">
        <v>0</v>
      </c>
      <c r="X9" s="122">
        <v>0</v>
      </c>
      <c r="Y9" s="63">
        <f>Q9+R9+S9</f>
        <v>1300000</v>
      </c>
      <c r="Z9" s="63">
        <f>T9</f>
        <v>0</v>
      </c>
      <c r="AA9" s="63">
        <f>U9</f>
        <v>0</v>
      </c>
      <c r="AB9" s="63">
        <f>V9+W9+X9</f>
        <v>0</v>
      </c>
      <c r="AC9" s="122">
        <f t="shared" ref="AC9:AJ9" si="38">Q9*$N$9</f>
        <v>0</v>
      </c>
      <c r="AD9" s="122">
        <f t="shared" si="38"/>
        <v>260000</v>
      </c>
      <c r="AE9" s="122">
        <f t="shared" si="38"/>
        <v>1040000</v>
      </c>
      <c r="AF9" s="122">
        <f t="shared" si="38"/>
        <v>0</v>
      </c>
      <c r="AG9" s="122">
        <f t="shared" si="38"/>
        <v>0</v>
      </c>
      <c r="AH9" s="122">
        <f t="shared" si="38"/>
        <v>0</v>
      </c>
      <c r="AI9" s="122">
        <f t="shared" si="38"/>
        <v>0</v>
      </c>
      <c r="AJ9" s="122">
        <f t="shared" si="38"/>
        <v>0</v>
      </c>
      <c r="AK9" s="123">
        <f>AC9+AD9+AE9</f>
        <v>1300000</v>
      </c>
      <c r="AL9" s="123">
        <f>AF9</f>
        <v>0</v>
      </c>
      <c r="AM9" s="123">
        <f>AG9</f>
        <v>0</v>
      </c>
      <c r="AN9" s="123">
        <f t="shared" si="32"/>
        <v>0</v>
      </c>
      <c r="AO9" s="122">
        <f>Q9*$P$9</f>
        <v>0</v>
      </c>
      <c r="AP9" s="122">
        <f t="shared" ref="AP9:AR9" si="39">R9*$P$9</f>
        <v>0</v>
      </c>
      <c r="AQ9" s="122">
        <f t="shared" si="39"/>
        <v>0</v>
      </c>
      <c r="AR9" s="122">
        <f t="shared" si="39"/>
        <v>0</v>
      </c>
      <c r="AS9" s="122">
        <f t="shared" ref="AS9" si="40">U9*$P$9</f>
        <v>0</v>
      </c>
      <c r="AT9" s="122">
        <f t="shared" ref="AT9" si="41">V9*$P$9</f>
        <v>0</v>
      </c>
      <c r="AU9" s="122">
        <f t="shared" ref="AU9:AV9" si="42">W9*$P$9</f>
        <v>0</v>
      </c>
      <c r="AV9" s="122">
        <f t="shared" si="42"/>
        <v>0</v>
      </c>
      <c r="AW9" s="124">
        <f t="shared" si="34"/>
        <v>0</v>
      </c>
      <c r="AX9" s="124">
        <f t="shared" si="35"/>
        <v>0</v>
      </c>
      <c r="AY9" s="124">
        <f t="shared" si="36"/>
        <v>0</v>
      </c>
      <c r="AZ9" s="124">
        <f t="shared" si="37"/>
        <v>0</v>
      </c>
    </row>
    <row r="10" spans="1:52" ht="27" customHeight="1" x14ac:dyDescent="0.25">
      <c r="A10" s="200" t="s">
        <v>43</v>
      </c>
      <c r="B10" s="31"/>
      <c r="C10" s="44"/>
      <c r="D10" s="32"/>
      <c r="E10" s="45"/>
      <c r="F10" s="46"/>
      <c r="G10" s="47"/>
      <c r="H10" s="47"/>
      <c r="I10" s="47"/>
      <c r="J10" s="47"/>
      <c r="K10" s="68"/>
      <c r="L10" s="35">
        <f>SUM(L11:L17)</f>
        <v>58800000</v>
      </c>
      <c r="M10" s="35">
        <f>SUM(M11:M17)</f>
        <v>30050000</v>
      </c>
      <c r="N10" s="84">
        <f t="shared" si="19"/>
        <v>0.51</v>
      </c>
      <c r="O10" s="35">
        <f>SUM(O11:O17)</f>
        <v>28750000</v>
      </c>
      <c r="P10" s="84">
        <f t="shared" si="0"/>
        <v>0.49</v>
      </c>
      <c r="Q10" s="49">
        <f>SUM(Q11:Q17)</f>
        <v>400000</v>
      </c>
      <c r="R10" s="49">
        <f t="shared" ref="R10:X10" si="43">SUM(R11:R17)</f>
        <v>826666</v>
      </c>
      <c r="S10" s="49">
        <f t="shared" si="43"/>
        <v>12366666</v>
      </c>
      <c r="T10" s="49">
        <f t="shared" si="43"/>
        <v>22816668</v>
      </c>
      <c r="U10" s="49">
        <f t="shared" si="43"/>
        <v>21355000</v>
      </c>
      <c r="V10" s="49">
        <f t="shared" si="43"/>
        <v>1035000</v>
      </c>
      <c r="W10" s="49">
        <f t="shared" si="43"/>
        <v>0</v>
      </c>
      <c r="X10" s="49">
        <f t="shared" si="43"/>
        <v>0</v>
      </c>
      <c r="Y10" s="48">
        <f>SUM(Y11:Y17)</f>
        <v>3533332</v>
      </c>
      <c r="Z10" s="48">
        <f t="shared" ref="Z10:AB10" si="44">SUM(Z11:Z17)</f>
        <v>12756668</v>
      </c>
      <c r="AA10" s="48">
        <f t="shared" si="44"/>
        <v>21355000</v>
      </c>
      <c r="AB10" s="48">
        <f t="shared" si="44"/>
        <v>21155000</v>
      </c>
      <c r="AC10" s="49">
        <f>SUM(AC11:AC17)</f>
        <v>200000</v>
      </c>
      <c r="AD10" s="49">
        <f t="shared" ref="AD10:AJ10" si="45">SUM(AD11:AD17)</f>
        <v>635000</v>
      </c>
      <c r="AE10" s="49">
        <f t="shared" si="45"/>
        <v>6674470</v>
      </c>
      <c r="AF10" s="49">
        <f t="shared" si="45"/>
        <v>11283334</v>
      </c>
      <c r="AG10" s="49">
        <f t="shared" si="45"/>
        <v>10739696</v>
      </c>
      <c r="AH10" s="49">
        <f t="shared" si="45"/>
        <v>517500</v>
      </c>
      <c r="AI10" s="49">
        <f t="shared" si="45"/>
        <v>0</v>
      </c>
      <c r="AJ10" s="49">
        <f t="shared" si="45"/>
        <v>0</v>
      </c>
      <c r="AK10" s="92">
        <f>SUM(AK11:AK17)</f>
        <v>2404470</v>
      </c>
      <c r="AL10" s="92">
        <f t="shared" ref="AL10:AN10" si="46">SUM(AL11:AL17)</f>
        <v>6328334</v>
      </c>
      <c r="AM10" s="92">
        <f t="shared" si="46"/>
        <v>10739696</v>
      </c>
      <c r="AN10" s="92">
        <f t="shared" si="46"/>
        <v>10577500</v>
      </c>
      <c r="AO10" s="92">
        <f t="shared" ref="AO10" si="47">SUM(AO11:AO17)</f>
        <v>200000</v>
      </c>
      <c r="AP10" s="92">
        <f t="shared" ref="AP10" si="48">SUM(AP11:AP17)</f>
        <v>408333</v>
      </c>
      <c r="AQ10" s="92">
        <f t="shared" ref="AQ10" si="49">SUM(AQ11:AQ17)</f>
        <v>5663333</v>
      </c>
      <c r="AR10" s="92">
        <f t="shared" ref="AR10" si="50">SUM(AR11:AR17)</f>
        <v>11283334</v>
      </c>
      <c r="AS10" s="92">
        <f t="shared" ref="AS10" si="51">SUM(AS11:AS17)</f>
        <v>10677500</v>
      </c>
      <c r="AT10" s="92">
        <f t="shared" ref="AT10" si="52">SUM(AT11:AT17)</f>
        <v>517500</v>
      </c>
      <c r="AU10" s="92">
        <f t="shared" ref="AU10" si="53">SUM(AU11:AU17)</f>
        <v>0</v>
      </c>
      <c r="AV10" s="92">
        <f t="shared" ref="AV10" si="54">SUM(AV11:AV17)</f>
        <v>0</v>
      </c>
      <c r="AW10" s="92">
        <f t="shared" ref="AW10" si="55">SUM(AW11:AW17)</f>
        <v>1241666</v>
      </c>
      <c r="AX10" s="92">
        <f t="shared" ref="AX10" si="56">SUM(AX11:AX17)</f>
        <v>6253334</v>
      </c>
      <c r="AY10" s="92">
        <f t="shared" ref="AY10" si="57">SUM(AY11:AY17)</f>
        <v>10677500</v>
      </c>
      <c r="AZ10" s="92">
        <f t="shared" ref="AZ10" si="58">SUM(AZ11:AZ17)</f>
        <v>10577500</v>
      </c>
    </row>
    <row r="11" spans="1:52" ht="82.5" customHeight="1" x14ac:dyDescent="0.25">
      <c r="A11" s="201"/>
      <c r="B11" s="203" t="s">
        <v>96</v>
      </c>
      <c r="C11" s="60" t="s">
        <v>105</v>
      </c>
      <c r="D11" s="26">
        <v>2</v>
      </c>
      <c r="E11" s="41" t="s">
        <v>45</v>
      </c>
      <c r="F11" s="39"/>
      <c r="G11" s="95">
        <v>12</v>
      </c>
      <c r="H11" s="38" t="s">
        <v>73</v>
      </c>
      <c r="I11" s="38" t="s">
        <v>52</v>
      </c>
      <c r="J11" s="38" t="s">
        <v>81</v>
      </c>
      <c r="K11" s="67" t="s">
        <v>82</v>
      </c>
      <c r="L11" s="28">
        <v>2000000</v>
      </c>
      <c r="M11" s="28">
        <f>L11*50/100</f>
        <v>1000000</v>
      </c>
      <c r="N11" s="75">
        <f t="shared" si="19"/>
        <v>0.5</v>
      </c>
      <c r="O11" s="25">
        <f>L11-M11</f>
        <v>1000000</v>
      </c>
      <c r="P11" s="75">
        <f t="shared" si="0"/>
        <v>0.5</v>
      </c>
      <c r="Q11" s="43">
        <f>$L$11*0.2</f>
        <v>400000</v>
      </c>
      <c r="R11" s="43">
        <v>466666</v>
      </c>
      <c r="S11" s="43">
        <v>466666</v>
      </c>
      <c r="T11" s="43">
        <v>466668</v>
      </c>
      <c r="U11" s="43">
        <v>200000</v>
      </c>
      <c r="V11" s="42">
        <v>0</v>
      </c>
      <c r="W11" s="42">
        <v>0</v>
      </c>
      <c r="X11" s="42">
        <v>0</v>
      </c>
      <c r="Y11" s="64">
        <f>Q11+R11+S11</f>
        <v>1333332</v>
      </c>
      <c r="Z11" s="64">
        <f>T11</f>
        <v>466668</v>
      </c>
      <c r="AA11" s="65">
        <f>U11</f>
        <v>200000</v>
      </c>
      <c r="AB11" s="64">
        <f>V11+W11+X11</f>
        <v>0</v>
      </c>
      <c r="AC11" s="72">
        <f>Q11*$N$11</f>
        <v>200000</v>
      </c>
      <c r="AD11" s="72">
        <v>200000</v>
      </c>
      <c r="AE11" s="72">
        <v>204470</v>
      </c>
      <c r="AF11" s="72">
        <f t="shared" ref="AF11" si="59">T11*$N$11</f>
        <v>233334</v>
      </c>
      <c r="AG11" s="72">
        <v>162196</v>
      </c>
      <c r="AH11" s="72">
        <f t="shared" ref="AH11:AJ11" si="60">V11*$N$11</f>
        <v>0</v>
      </c>
      <c r="AI11" s="72">
        <f t="shared" si="60"/>
        <v>0</v>
      </c>
      <c r="AJ11" s="72">
        <f t="shared" si="60"/>
        <v>0</v>
      </c>
      <c r="AK11" s="79">
        <f>AC11+AD11+AE11</f>
        <v>604470</v>
      </c>
      <c r="AL11" s="79">
        <f>AF11</f>
        <v>233334</v>
      </c>
      <c r="AM11" s="79">
        <f>AG11</f>
        <v>162196</v>
      </c>
      <c r="AN11" s="79">
        <f>AH11+AI11+AJ11</f>
        <v>0</v>
      </c>
      <c r="AO11" s="72">
        <v>200000</v>
      </c>
      <c r="AP11" s="72">
        <v>233333</v>
      </c>
      <c r="AQ11" s="72">
        <v>233333</v>
      </c>
      <c r="AR11" s="72">
        <v>233334</v>
      </c>
      <c r="AS11" s="72">
        <v>100000</v>
      </c>
      <c r="AT11" s="72">
        <f>W11*$P$11</f>
        <v>0</v>
      </c>
      <c r="AU11" s="72">
        <f>X11*$P$11</f>
        <v>0</v>
      </c>
      <c r="AV11" s="82">
        <f>X11*$P$11</f>
        <v>0</v>
      </c>
      <c r="AW11" s="80">
        <f>AO11+AP11+AQ11</f>
        <v>666666</v>
      </c>
      <c r="AX11" s="80">
        <f>AR11</f>
        <v>233334</v>
      </c>
      <c r="AY11" s="80">
        <f>AS11</f>
        <v>100000</v>
      </c>
      <c r="AZ11" s="80">
        <f>AT11+AU11+AV11</f>
        <v>0</v>
      </c>
    </row>
    <row r="12" spans="1:52" ht="87.5" x14ac:dyDescent="0.25">
      <c r="A12" s="201"/>
      <c r="B12" s="203"/>
      <c r="C12" s="61" t="s">
        <v>99</v>
      </c>
      <c r="D12" s="26">
        <v>9</v>
      </c>
      <c r="E12" s="41" t="s">
        <v>48</v>
      </c>
      <c r="F12" s="39"/>
      <c r="G12" s="38">
        <v>12</v>
      </c>
      <c r="H12" s="38" t="s">
        <v>76</v>
      </c>
      <c r="I12" s="38" t="s">
        <v>86</v>
      </c>
      <c r="J12" s="38" t="s">
        <v>80</v>
      </c>
      <c r="K12" s="67" t="s">
        <v>85</v>
      </c>
      <c r="L12" s="64">
        <v>50300000</v>
      </c>
      <c r="M12" s="28">
        <f>L12*50/100</f>
        <v>25150000</v>
      </c>
      <c r="N12" s="75">
        <f t="shared" si="19"/>
        <v>0.5</v>
      </c>
      <c r="O12" s="25">
        <f t="shared" ref="O12:O21" si="61">L12-M12</f>
        <v>25150000</v>
      </c>
      <c r="P12" s="75">
        <f t="shared" si="0"/>
        <v>0.5</v>
      </c>
      <c r="Q12" s="72">
        <v>0</v>
      </c>
      <c r="R12" s="159">
        <v>0</v>
      </c>
      <c r="S12" s="43">
        <f>L12*0.2</f>
        <v>10060000</v>
      </c>
      <c r="T12" s="43">
        <f>L12*0.4</f>
        <v>20120000</v>
      </c>
      <c r="U12" s="43">
        <f>L12*0.4</f>
        <v>20120000</v>
      </c>
      <c r="V12" s="42">
        <v>0</v>
      </c>
      <c r="W12" s="42">
        <v>0</v>
      </c>
      <c r="X12" s="42">
        <v>0</v>
      </c>
      <c r="Y12" s="64">
        <f t="shared" ref="Y12" si="62">Q12+R12</f>
        <v>0</v>
      </c>
      <c r="Z12" s="64">
        <f t="shared" ref="Z12" si="63">S12</f>
        <v>10060000</v>
      </c>
      <c r="AA12" s="65">
        <f t="shared" ref="AA12" si="64">T12</f>
        <v>20120000</v>
      </c>
      <c r="AB12" s="64">
        <f>SUM(U12:X12)</f>
        <v>20120000</v>
      </c>
      <c r="AC12" s="72">
        <f>Q12*$N$12</f>
        <v>0</v>
      </c>
      <c r="AD12" s="72">
        <f>R12*$N$12</f>
        <v>0</v>
      </c>
      <c r="AE12" s="72">
        <f>S12*$N$12</f>
        <v>5030000</v>
      </c>
      <c r="AF12" s="72">
        <f>T12*$N$12</f>
        <v>10060000</v>
      </c>
      <c r="AG12" s="72">
        <f>U12*$N$12</f>
        <v>10060000</v>
      </c>
      <c r="AH12" s="72">
        <f t="shared" ref="AH12:AJ12" si="65">V12*$N$12</f>
        <v>0</v>
      </c>
      <c r="AI12" s="72">
        <f t="shared" si="65"/>
        <v>0</v>
      </c>
      <c r="AJ12" s="72">
        <f t="shared" si="65"/>
        <v>0</v>
      </c>
      <c r="AK12" s="79">
        <f t="shared" si="29"/>
        <v>0</v>
      </c>
      <c r="AL12" s="79">
        <f t="shared" si="30"/>
        <v>5030000</v>
      </c>
      <c r="AM12" s="79">
        <f t="shared" si="31"/>
        <v>10060000</v>
      </c>
      <c r="AN12" s="79">
        <f t="shared" si="32"/>
        <v>10060000</v>
      </c>
      <c r="AO12" s="72">
        <f>Q12*$P$12</f>
        <v>0</v>
      </c>
      <c r="AP12" s="83">
        <f>R12*$P$12</f>
        <v>0</v>
      </c>
      <c r="AQ12" s="43">
        <f>S12*$P$12</f>
        <v>5030000</v>
      </c>
      <c r="AR12" s="72">
        <f>T12*$P$12</f>
        <v>10060000</v>
      </c>
      <c r="AS12" s="72">
        <f>U12*$P$12</f>
        <v>10060000</v>
      </c>
      <c r="AT12" s="72">
        <f t="shared" ref="AT12:AV12" si="66">V12*$P$12</f>
        <v>0</v>
      </c>
      <c r="AU12" s="72">
        <f t="shared" si="66"/>
        <v>0</v>
      </c>
      <c r="AV12" s="72">
        <f t="shared" si="66"/>
        <v>0</v>
      </c>
      <c r="AW12" s="80">
        <f t="shared" ref="AW12:AW19" si="67">AO12+AP12</f>
        <v>0</v>
      </c>
      <c r="AX12" s="80">
        <f t="shared" si="35"/>
        <v>5030000</v>
      </c>
      <c r="AY12" s="80">
        <f t="shared" si="36"/>
        <v>10060000</v>
      </c>
      <c r="AZ12" s="80">
        <f t="shared" si="37"/>
        <v>10060000</v>
      </c>
    </row>
    <row r="13" spans="1:52" ht="88.5" x14ac:dyDescent="0.25">
      <c r="A13" s="202"/>
      <c r="B13" s="204" t="s">
        <v>97</v>
      </c>
      <c r="C13" s="61" t="s">
        <v>100</v>
      </c>
      <c r="D13" s="26">
        <v>8</v>
      </c>
      <c r="E13" s="94" t="s">
        <v>45</v>
      </c>
      <c r="F13" s="53"/>
      <c r="G13" s="38">
        <v>12</v>
      </c>
      <c r="H13" s="95" t="s">
        <v>52</v>
      </c>
      <c r="I13" s="38" t="s">
        <v>54</v>
      </c>
      <c r="J13" s="38">
        <v>12</v>
      </c>
      <c r="K13" s="67" t="s">
        <v>56</v>
      </c>
      <c r="L13" s="28">
        <v>250000</v>
      </c>
      <c r="M13" s="28">
        <f>L13*50/100</f>
        <v>125000</v>
      </c>
      <c r="N13" s="75">
        <f t="shared" si="19"/>
        <v>0.5</v>
      </c>
      <c r="O13" s="25">
        <f t="shared" si="61"/>
        <v>125000</v>
      </c>
      <c r="P13" s="75">
        <f t="shared" si="0"/>
        <v>0.5</v>
      </c>
      <c r="Q13" s="72">
        <v>0</v>
      </c>
      <c r="R13" s="43">
        <f>L13*0.4</f>
        <v>100000</v>
      </c>
      <c r="S13" s="43">
        <f>L13*0.6</f>
        <v>150000</v>
      </c>
      <c r="T13" s="43">
        <v>0</v>
      </c>
      <c r="U13" s="42">
        <v>0</v>
      </c>
      <c r="V13" s="42">
        <v>0</v>
      </c>
      <c r="W13" s="42">
        <v>0</v>
      </c>
      <c r="X13" s="42">
        <v>0</v>
      </c>
      <c r="Y13" s="64">
        <f>Q13+R13+S13</f>
        <v>250000</v>
      </c>
      <c r="Z13" s="64">
        <f>T13</f>
        <v>0</v>
      </c>
      <c r="AA13" s="65">
        <f>U13</f>
        <v>0</v>
      </c>
      <c r="AB13" s="64">
        <f>V13+W13+X13</f>
        <v>0</v>
      </c>
      <c r="AC13" s="72">
        <f>Q13*$N$13</f>
        <v>0</v>
      </c>
      <c r="AD13" s="72">
        <f t="shared" ref="AD13:AJ13" si="68">R13*$N$13</f>
        <v>50000</v>
      </c>
      <c r="AE13" s="72">
        <f t="shared" si="68"/>
        <v>75000</v>
      </c>
      <c r="AF13" s="72">
        <f t="shared" si="68"/>
        <v>0</v>
      </c>
      <c r="AG13" s="72">
        <f t="shared" si="68"/>
        <v>0</v>
      </c>
      <c r="AH13" s="72">
        <f t="shared" si="68"/>
        <v>0</v>
      </c>
      <c r="AI13" s="72">
        <f t="shared" si="68"/>
        <v>0</v>
      </c>
      <c r="AJ13" s="72">
        <f t="shared" si="68"/>
        <v>0</v>
      </c>
      <c r="AK13" s="79">
        <f>AC13+AD13</f>
        <v>50000</v>
      </c>
      <c r="AL13" s="79">
        <f>AE13</f>
        <v>75000</v>
      </c>
      <c r="AM13" s="79">
        <f>AF13</f>
        <v>0</v>
      </c>
      <c r="AN13" s="79">
        <f>AG13+AH13+AI13+AJ13</f>
        <v>0</v>
      </c>
      <c r="AO13" s="72">
        <f>Q13*$P$13</f>
        <v>0</v>
      </c>
      <c r="AP13" s="72">
        <f t="shared" ref="AP13:AV13" si="69">R13*$P$13</f>
        <v>50000</v>
      </c>
      <c r="AQ13" s="72">
        <f t="shared" si="69"/>
        <v>75000</v>
      </c>
      <c r="AR13" s="72">
        <f t="shared" si="69"/>
        <v>0</v>
      </c>
      <c r="AS13" s="72">
        <f t="shared" si="69"/>
        <v>0</v>
      </c>
      <c r="AT13" s="72">
        <f t="shared" si="69"/>
        <v>0</v>
      </c>
      <c r="AU13" s="72">
        <f t="shared" si="69"/>
        <v>0</v>
      </c>
      <c r="AV13" s="72">
        <f t="shared" si="69"/>
        <v>0</v>
      </c>
      <c r="AW13" s="80">
        <f>AO13+AP13+AQ13</f>
        <v>125000</v>
      </c>
      <c r="AX13" s="80">
        <f t="shared" ref="AX13:AY15" si="70">AR13</f>
        <v>0</v>
      </c>
      <c r="AY13" s="80">
        <f t="shared" si="70"/>
        <v>0</v>
      </c>
      <c r="AZ13" s="80">
        <f>AT13+AU13+AV13</f>
        <v>0</v>
      </c>
    </row>
    <row r="14" spans="1:52" ht="148.5" customHeight="1" x14ac:dyDescent="0.25">
      <c r="A14" s="202"/>
      <c r="B14" s="205"/>
      <c r="C14" s="114" t="s">
        <v>57</v>
      </c>
      <c r="D14" s="115">
        <v>11</v>
      </c>
      <c r="E14" s="94" t="s">
        <v>45</v>
      </c>
      <c r="F14" s="116"/>
      <c r="G14" s="95">
        <v>12</v>
      </c>
      <c r="H14" s="95" t="s">
        <v>54</v>
      </c>
      <c r="I14" s="95" t="s">
        <v>50</v>
      </c>
      <c r="J14" s="38">
        <v>12</v>
      </c>
      <c r="K14" s="78" t="s">
        <v>64</v>
      </c>
      <c r="L14" s="28">
        <v>1000000</v>
      </c>
      <c r="M14" s="28">
        <f>L14*50/100</f>
        <v>500000</v>
      </c>
      <c r="N14" s="75">
        <f>M14/L14</f>
        <v>0.5</v>
      </c>
      <c r="O14" s="25">
        <f>L14-M14</f>
        <v>500000</v>
      </c>
      <c r="P14" s="75">
        <f>O14/L14</f>
        <v>0.5</v>
      </c>
      <c r="Q14" s="72">
        <v>0</v>
      </c>
      <c r="R14" s="43">
        <v>0</v>
      </c>
      <c r="S14" s="43">
        <f>L14*0.4</f>
        <v>400000</v>
      </c>
      <c r="T14" s="43">
        <f>L14*0.6</f>
        <v>600000</v>
      </c>
      <c r="U14" s="42">
        <v>0</v>
      </c>
      <c r="V14" s="42">
        <v>0</v>
      </c>
      <c r="W14" s="42">
        <v>0</v>
      </c>
      <c r="X14" s="42">
        <v>0</v>
      </c>
      <c r="Y14" s="64">
        <f t="shared" ref="Y14:Y15" si="71">Q14+R14+S14</f>
        <v>400000</v>
      </c>
      <c r="Z14" s="64">
        <f t="shared" ref="Z14:Z15" si="72">T14</f>
        <v>600000</v>
      </c>
      <c r="AA14" s="65">
        <f t="shared" ref="AA14:AA15" si="73">U14</f>
        <v>0</v>
      </c>
      <c r="AB14" s="64">
        <f t="shared" ref="AB14:AB15" si="74">V14+W14+X14</f>
        <v>0</v>
      </c>
      <c r="AC14" s="72">
        <f>Q14*$N$14</f>
        <v>0</v>
      </c>
      <c r="AD14" s="72">
        <f t="shared" ref="AD14:AJ14" si="75">R14*$N$14</f>
        <v>0</v>
      </c>
      <c r="AE14" s="72">
        <f t="shared" si="75"/>
        <v>200000</v>
      </c>
      <c r="AF14" s="72">
        <f t="shared" si="75"/>
        <v>300000</v>
      </c>
      <c r="AG14" s="72">
        <f t="shared" si="75"/>
        <v>0</v>
      </c>
      <c r="AH14" s="72">
        <f t="shared" si="75"/>
        <v>0</v>
      </c>
      <c r="AI14" s="72">
        <f t="shared" si="75"/>
        <v>0</v>
      </c>
      <c r="AJ14" s="72">
        <f t="shared" si="75"/>
        <v>0</v>
      </c>
      <c r="AK14" s="79">
        <f t="shared" ref="AK14:AK15" si="76">AC14+AD14+AE14</f>
        <v>200000</v>
      </c>
      <c r="AL14" s="79">
        <f t="shared" ref="AL14:AL15" si="77">AF14</f>
        <v>300000</v>
      </c>
      <c r="AM14" s="79">
        <f t="shared" ref="AM14:AM15" si="78">AG14</f>
        <v>0</v>
      </c>
      <c r="AN14" s="79">
        <f t="shared" ref="AN14:AN15" si="79">AH14+AI14+AJ14</f>
        <v>0</v>
      </c>
      <c r="AO14" s="72">
        <f>Q14*$P$14</f>
        <v>0</v>
      </c>
      <c r="AP14" s="72">
        <f t="shared" ref="AP14:AV14" si="80">R14*$P$14</f>
        <v>0</v>
      </c>
      <c r="AQ14" s="72">
        <f t="shared" si="80"/>
        <v>200000</v>
      </c>
      <c r="AR14" s="72">
        <f t="shared" si="80"/>
        <v>300000</v>
      </c>
      <c r="AS14" s="72">
        <f t="shared" si="80"/>
        <v>0</v>
      </c>
      <c r="AT14" s="72">
        <f t="shared" si="80"/>
        <v>0</v>
      </c>
      <c r="AU14" s="72">
        <f t="shared" si="80"/>
        <v>0</v>
      </c>
      <c r="AV14" s="72">
        <f t="shared" si="80"/>
        <v>0</v>
      </c>
      <c r="AW14" s="80">
        <f>AO14+AP14+AQ14</f>
        <v>200000</v>
      </c>
      <c r="AX14" s="80">
        <f t="shared" si="70"/>
        <v>300000</v>
      </c>
      <c r="AY14" s="80">
        <f t="shared" si="70"/>
        <v>0</v>
      </c>
      <c r="AZ14" s="80">
        <f>AT14+AU14+AV14</f>
        <v>0</v>
      </c>
    </row>
    <row r="15" spans="1:52" ht="168.5" customHeight="1" x14ac:dyDescent="0.25">
      <c r="A15" s="202"/>
      <c r="B15" s="206"/>
      <c r="C15" s="114" t="s">
        <v>87</v>
      </c>
      <c r="D15" s="115">
        <v>12</v>
      </c>
      <c r="E15" s="94" t="s">
        <v>45</v>
      </c>
      <c r="F15" s="116"/>
      <c r="G15" s="95">
        <v>12</v>
      </c>
      <c r="H15" s="95" t="s">
        <v>50</v>
      </c>
      <c r="I15" s="95" t="s">
        <v>51</v>
      </c>
      <c r="J15" s="38">
        <v>24</v>
      </c>
      <c r="K15" s="77" t="s">
        <v>65</v>
      </c>
      <c r="L15" s="28">
        <v>3450000</v>
      </c>
      <c r="M15" s="28">
        <f>L15*50/100</f>
        <v>1725000</v>
      </c>
      <c r="N15" s="75">
        <f>M15/L15</f>
        <v>0.5</v>
      </c>
      <c r="O15" s="25">
        <f>L15-M15</f>
        <v>1725000</v>
      </c>
      <c r="P15" s="75">
        <f>O15/L15</f>
        <v>0.5</v>
      </c>
      <c r="Q15" s="72">
        <v>0</v>
      </c>
      <c r="R15" s="43">
        <v>0</v>
      </c>
      <c r="S15" s="43">
        <v>0</v>
      </c>
      <c r="T15" s="43">
        <f>$L$15*0.4</f>
        <v>1380000</v>
      </c>
      <c r="U15" s="42">
        <f>$L$15*0.3</f>
        <v>1035000</v>
      </c>
      <c r="V15" s="42">
        <f>$L$15*0.3</f>
        <v>1035000</v>
      </c>
      <c r="W15" s="42">
        <v>0</v>
      </c>
      <c r="X15" s="42">
        <v>0</v>
      </c>
      <c r="Y15" s="64">
        <f t="shared" si="71"/>
        <v>0</v>
      </c>
      <c r="Z15" s="64">
        <f t="shared" si="72"/>
        <v>1380000</v>
      </c>
      <c r="AA15" s="65">
        <f t="shared" si="73"/>
        <v>1035000</v>
      </c>
      <c r="AB15" s="64">
        <f t="shared" si="74"/>
        <v>1035000</v>
      </c>
      <c r="AC15" s="72">
        <f>Q15*$N$15</f>
        <v>0</v>
      </c>
      <c r="AD15" s="72">
        <f t="shared" ref="AD15:AJ15" si="81">R15*$N$15</f>
        <v>0</v>
      </c>
      <c r="AE15" s="72">
        <f t="shared" si="81"/>
        <v>0</v>
      </c>
      <c r="AF15" s="72">
        <f t="shared" si="81"/>
        <v>690000</v>
      </c>
      <c r="AG15" s="72">
        <f t="shared" si="81"/>
        <v>517500</v>
      </c>
      <c r="AH15" s="72">
        <f t="shared" si="81"/>
        <v>517500</v>
      </c>
      <c r="AI15" s="72">
        <f t="shared" si="81"/>
        <v>0</v>
      </c>
      <c r="AJ15" s="72">
        <f t="shared" si="81"/>
        <v>0</v>
      </c>
      <c r="AK15" s="79">
        <f t="shared" si="76"/>
        <v>0</v>
      </c>
      <c r="AL15" s="79">
        <f t="shared" si="77"/>
        <v>690000</v>
      </c>
      <c r="AM15" s="79">
        <f t="shared" si="78"/>
        <v>517500</v>
      </c>
      <c r="AN15" s="79">
        <f t="shared" si="79"/>
        <v>517500</v>
      </c>
      <c r="AO15" s="72">
        <f>Q15*$P$15</f>
        <v>0</v>
      </c>
      <c r="AP15" s="72">
        <f t="shared" ref="AP15:AV15" si="82">R15*$P$15</f>
        <v>0</v>
      </c>
      <c r="AQ15" s="72">
        <f t="shared" si="82"/>
        <v>0</v>
      </c>
      <c r="AR15" s="72">
        <f t="shared" si="82"/>
        <v>690000</v>
      </c>
      <c r="AS15" s="72">
        <f t="shared" si="82"/>
        <v>517500</v>
      </c>
      <c r="AT15" s="72">
        <f t="shared" si="82"/>
        <v>517500</v>
      </c>
      <c r="AU15" s="72">
        <f t="shared" si="82"/>
        <v>0</v>
      </c>
      <c r="AV15" s="72">
        <f t="shared" si="82"/>
        <v>0</v>
      </c>
      <c r="AW15" s="80">
        <f>AO15+AP15+AQ15</f>
        <v>0</v>
      </c>
      <c r="AX15" s="80">
        <f t="shared" si="70"/>
        <v>690000</v>
      </c>
      <c r="AY15" s="80">
        <f t="shared" si="70"/>
        <v>517500</v>
      </c>
      <c r="AZ15" s="80">
        <f>AT15+AU15+AV15</f>
        <v>517500</v>
      </c>
    </row>
    <row r="16" spans="1:52" s="90" customFormat="1" ht="95.5" customHeight="1" x14ac:dyDescent="0.25">
      <c r="A16" s="119"/>
      <c r="B16" s="207" t="s">
        <v>98</v>
      </c>
      <c r="C16" s="117" t="s">
        <v>106</v>
      </c>
      <c r="D16" s="97">
        <v>4</v>
      </c>
      <c r="E16" s="118" t="s">
        <v>74</v>
      </c>
      <c r="F16" s="53"/>
      <c r="G16" s="38">
        <v>12</v>
      </c>
      <c r="H16" s="38" t="s">
        <v>75</v>
      </c>
      <c r="I16" s="38" t="s">
        <v>76</v>
      </c>
      <c r="J16" s="95">
        <v>24</v>
      </c>
      <c r="K16" s="67" t="s">
        <v>89</v>
      </c>
      <c r="L16" s="64">
        <v>1300000</v>
      </c>
      <c r="M16" s="64">
        <v>1300000</v>
      </c>
      <c r="N16" s="121">
        <f>M16/L16</f>
        <v>1</v>
      </c>
      <c r="O16" s="63">
        <f>L16-M16</f>
        <v>0</v>
      </c>
      <c r="P16" s="121">
        <f>O16/L16</f>
        <v>0</v>
      </c>
      <c r="Q16" s="122">
        <v>0</v>
      </c>
      <c r="R16" s="42">
        <f>$L$16*20%</f>
        <v>260000</v>
      </c>
      <c r="S16" s="42">
        <f>$L$16*80%</f>
        <v>1040000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64">
        <f>Q16+R16+S16</f>
        <v>1300000</v>
      </c>
      <c r="Z16" s="64">
        <f>T16</f>
        <v>0</v>
      </c>
      <c r="AA16" s="63">
        <f>U16</f>
        <v>0</v>
      </c>
      <c r="AB16" s="64">
        <f>V16+W16+X16</f>
        <v>0</v>
      </c>
      <c r="AC16" s="122">
        <f>Q16*$N$16</f>
        <v>0</v>
      </c>
      <c r="AD16" s="122">
        <f>R16*$N$16</f>
        <v>260000</v>
      </c>
      <c r="AE16" s="122">
        <f t="shared" ref="AE16:AF16" si="83">S16*$N$16</f>
        <v>1040000</v>
      </c>
      <c r="AF16" s="122">
        <f t="shared" si="83"/>
        <v>0</v>
      </c>
      <c r="AG16" s="122">
        <f t="shared" ref="AG16" si="84">U16*$N$16</f>
        <v>0</v>
      </c>
      <c r="AH16" s="122">
        <f t="shared" ref="AH16" si="85">V16*$N$16</f>
        <v>0</v>
      </c>
      <c r="AI16" s="122">
        <f t="shared" ref="AI16" si="86">W16*$N$16</f>
        <v>0</v>
      </c>
      <c r="AJ16" s="122">
        <f t="shared" ref="AJ16" si="87">X16*$N$16</f>
        <v>0</v>
      </c>
      <c r="AK16" s="123">
        <f>AC16+AD16+AE16</f>
        <v>1300000</v>
      </c>
      <c r="AL16" s="123">
        <f>AF16</f>
        <v>0</v>
      </c>
      <c r="AM16" s="123">
        <f>AG16</f>
        <v>0</v>
      </c>
      <c r="AN16" s="123">
        <f>AH16+AI16+AJ16</f>
        <v>0</v>
      </c>
      <c r="AO16" s="122">
        <f>Q16*$P$16</f>
        <v>0</v>
      </c>
      <c r="AP16" s="122">
        <f t="shared" ref="AP16:AS16" si="88">R16*$P$16</f>
        <v>0</v>
      </c>
      <c r="AQ16" s="122">
        <f t="shared" si="88"/>
        <v>0</v>
      </c>
      <c r="AR16" s="122">
        <f t="shared" si="88"/>
        <v>0</v>
      </c>
      <c r="AS16" s="122">
        <f t="shared" si="88"/>
        <v>0</v>
      </c>
      <c r="AT16" s="122">
        <f>V16*$P$16</f>
        <v>0</v>
      </c>
      <c r="AU16" s="122">
        <f t="shared" ref="AU16" si="89">W16*$P$16</f>
        <v>0</v>
      </c>
      <c r="AV16" s="122">
        <f t="shared" ref="AV16" si="90">X16*$P$16</f>
        <v>0</v>
      </c>
      <c r="AW16" s="80">
        <f>AO16+AP16+AQ16</f>
        <v>0</v>
      </c>
      <c r="AX16" s="124">
        <f t="shared" si="35"/>
        <v>0</v>
      </c>
      <c r="AY16" s="124">
        <f t="shared" si="36"/>
        <v>0</v>
      </c>
      <c r="AZ16" s="124">
        <f t="shared" si="37"/>
        <v>0</v>
      </c>
    </row>
    <row r="17" spans="1:52" s="90" customFormat="1" ht="112.5" customHeight="1" x14ac:dyDescent="0.25">
      <c r="A17" s="91"/>
      <c r="B17" s="208"/>
      <c r="C17" s="117" t="s">
        <v>101</v>
      </c>
      <c r="D17" s="97">
        <v>7</v>
      </c>
      <c r="E17" s="118" t="s">
        <v>102</v>
      </c>
      <c r="F17" s="53"/>
      <c r="G17" s="38">
        <v>12</v>
      </c>
      <c r="H17" s="38" t="s">
        <v>76</v>
      </c>
      <c r="I17" s="38" t="s">
        <v>86</v>
      </c>
      <c r="J17" s="95">
        <v>12</v>
      </c>
      <c r="K17" s="126" t="s">
        <v>88</v>
      </c>
      <c r="L17" s="64">
        <v>500000</v>
      </c>
      <c r="M17" s="64">
        <v>250000</v>
      </c>
      <c r="N17" s="121">
        <f>M17/L17</f>
        <v>0.5</v>
      </c>
      <c r="O17" s="63">
        <f>L17-M17</f>
        <v>250000</v>
      </c>
      <c r="P17" s="121">
        <f>O17/L17</f>
        <v>0.5</v>
      </c>
      <c r="Q17" s="42">
        <v>0</v>
      </c>
      <c r="R17" s="42">
        <v>0</v>
      </c>
      <c r="S17" s="42">
        <v>250000</v>
      </c>
      <c r="T17" s="42">
        <v>250000</v>
      </c>
      <c r="U17" s="42">
        <v>0</v>
      </c>
      <c r="V17" s="42">
        <v>0</v>
      </c>
      <c r="W17" s="42">
        <v>0</v>
      </c>
      <c r="X17" s="42">
        <v>0</v>
      </c>
      <c r="Y17" s="64">
        <f>Q17+R17+S17</f>
        <v>250000</v>
      </c>
      <c r="Z17" s="64">
        <f>T17</f>
        <v>250000</v>
      </c>
      <c r="AA17" s="63">
        <f>U17</f>
        <v>0</v>
      </c>
      <c r="AB17" s="64">
        <f>V17+W17+X17</f>
        <v>0</v>
      </c>
      <c r="AC17" s="42">
        <v>0</v>
      </c>
      <c r="AD17" s="42">
        <v>125000</v>
      </c>
      <c r="AE17" s="42">
        <v>125000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123">
        <f>AC17+AD17+AE17</f>
        <v>250000</v>
      </c>
      <c r="AL17" s="123">
        <f>AF17</f>
        <v>0</v>
      </c>
      <c r="AM17" s="123">
        <f>AG17</f>
        <v>0</v>
      </c>
      <c r="AN17" s="123">
        <f>AH17+AI17+AJ17</f>
        <v>0</v>
      </c>
      <c r="AO17" s="42">
        <v>0</v>
      </c>
      <c r="AP17" s="42">
        <v>125000</v>
      </c>
      <c r="AQ17" s="42">
        <v>125000</v>
      </c>
      <c r="AR17" s="42">
        <v>0</v>
      </c>
      <c r="AS17" s="42">
        <v>0</v>
      </c>
      <c r="AT17" s="42">
        <v>0</v>
      </c>
      <c r="AU17" s="42">
        <v>0</v>
      </c>
      <c r="AV17" s="42">
        <v>0</v>
      </c>
      <c r="AW17" s="124">
        <f>AO17+AP17+AQ17</f>
        <v>250000</v>
      </c>
      <c r="AX17" s="124">
        <f>AR17</f>
        <v>0</v>
      </c>
      <c r="AY17" s="124">
        <f>AS17</f>
        <v>0</v>
      </c>
      <c r="AZ17" s="124">
        <f>AT17+AU17+AV17</f>
        <v>0</v>
      </c>
    </row>
    <row r="18" spans="1:52" ht="13.25" customHeight="1" x14ac:dyDescent="0.25">
      <c r="A18" s="209" t="s">
        <v>35</v>
      </c>
      <c r="B18" s="31"/>
      <c r="C18" s="62"/>
      <c r="D18" s="32"/>
      <c r="E18" s="50"/>
      <c r="F18" s="51">
        <v>3060000</v>
      </c>
      <c r="G18" s="52"/>
      <c r="H18" s="52"/>
      <c r="I18" s="52"/>
      <c r="J18" s="52"/>
      <c r="K18" s="69"/>
      <c r="L18" s="35">
        <f>SUM(L19:L21)</f>
        <v>4451000</v>
      </c>
      <c r="M18" s="35">
        <f>SUM(M19:M21)</f>
        <v>4035000</v>
      </c>
      <c r="N18" s="84">
        <f t="shared" si="19"/>
        <v>0.91</v>
      </c>
      <c r="O18" s="35">
        <f>SUM(O19:O21)</f>
        <v>416000</v>
      </c>
      <c r="P18" s="84">
        <f t="shared" si="0"/>
        <v>0.09</v>
      </c>
      <c r="Q18" s="52">
        <f>SUM(Q19:Q21)</f>
        <v>849030</v>
      </c>
      <c r="R18" s="52">
        <f t="shared" ref="R18:X18" si="91">SUM(R19:R21)</f>
        <v>731375</v>
      </c>
      <c r="S18" s="52">
        <f t="shared" si="91"/>
        <v>856375</v>
      </c>
      <c r="T18" s="52">
        <f t="shared" si="91"/>
        <v>856375</v>
      </c>
      <c r="U18" s="52">
        <f t="shared" si="91"/>
        <v>481375</v>
      </c>
      <c r="V18" s="52">
        <f t="shared" si="91"/>
        <v>231375</v>
      </c>
      <c r="W18" s="52">
        <f t="shared" si="91"/>
        <v>231375</v>
      </c>
      <c r="X18" s="52">
        <f t="shared" si="91"/>
        <v>213720</v>
      </c>
      <c r="Y18" s="52">
        <f>SUM(Y19:Y21)</f>
        <v>1811780</v>
      </c>
      <c r="Z18" s="52">
        <f t="shared" ref="Z18" si="92">SUM(Z19:Z21)</f>
        <v>856375</v>
      </c>
      <c r="AA18" s="52">
        <f t="shared" ref="AA18" si="93">SUM(AA19:AA21)</f>
        <v>856375</v>
      </c>
      <c r="AB18" s="52">
        <f t="shared" ref="AB18:AC18" si="94">SUM(AB19:AB21)</f>
        <v>926470</v>
      </c>
      <c r="AC18" s="52">
        <f t="shared" si="94"/>
        <v>669030</v>
      </c>
      <c r="AD18" s="52">
        <f t="shared" ref="AD18" si="95">SUM(AD19:AD21)</f>
        <v>701375</v>
      </c>
      <c r="AE18" s="52">
        <f t="shared" ref="AE18" si="96">SUM(AE19:AE21)</f>
        <v>790375</v>
      </c>
      <c r="AF18" s="52">
        <f t="shared" ref="AF18" si="97">SUM(AF19:AF21)</f>
        <v>756375</v>
      </c>
      <c r="AG18" s="52">
        <f t="shared" ref="AG18" si="98">SUM(AG19:AG21)</f>
        <v>441375</v>
      </c>
      <c r="AH18" s="52">
        <f t="shared" ref="AH18" si="99">SUM(AH19:AH21)</f>
        <v>231375</v>
      </c>
      <c r="AI18" s="52">
        <f t="shared" ref="AI18" si="100">SUM(AI19:AI21)</f>
        <v>231375</v>
      </c>
      <c r="AJ18" s="52">
        <f t="shared" ref="AJ18:AK18" si="101">SUM(AJ19:AJ21)</f>
        <v>213720</v>
      </c>
      <c r="AK18" s="52">
        <f t="shared" si="101"/>
        <v>2126780</v>
      </c>
      <c r="AL18" s="52">
        <f t="shared" ref="AL18" si="102">SUM(AL19:AL21)</f>
        <v>790375</v>
      </c>
      <c r="AM18" s="52">
        <f t="shared" ref="AM18" si="103">SUM(AM19:AM21)</f>
        <v>441375</v>
      </c>
      <c r="AN18" s="52">
        <f t="shared" ref="AN18:AO18" si="104">SUM(AN19:AN21)</f>
        <v>676470</v>
      </c>
      <c r="AO18" s="52">
        <f t="shared" si="104"/>
        <v>80000</v>
      </c>
      <c r="AP18" s="52">
        <f t="shared" ref="AP18" si="105">SUM(AP19:AP21)</f>
        <v>88000</v>
      </c>
      <c r="AQ18" s="52">
        <f t="shared" ref="AQ18" si="106">SUM(AQ19:AQ21)</f>
        <v>108000</v>
      </c>
      <c r="AR18" s="52">
        <f t="shared" ref="AR18" si="107">SUM(AR19:AR21)</f>
        <v>100000</v>
      </c>
      <c r="AS18" s="52">
        <f t="shared" ref="AS18" si="108">SUM(AS19:AS21)</f>
        <v>40000</v>
      </c>
      <c r="AT18" s="52">
        <f t="shared" ref="AT18" si="109">SUM(AT19:AT21)</f>
        <v>0</v>
      </c>
      <c r="AU18" s="52">
        <f t="shared" ref="AU18" si="110">SUM(AU19:AU21)</f>
        <v>0</v>
      </c>
      <c r="AV18" s="52">
        <f t="shared" ref="AV18:AW18" si="111">SUM(AV19:AV21)</f>
        <v>0</v>
      </c>
      <c r="AW18" s="52">
        <f t="shared" si="111"/>
        <v>276000</v>
      </c>
      <c r="AX18" s="52">
        <f t="shared" ref="AX18" si="112">SUM(AX19:AX21)</f>
        <v>100000</v>
      </c>
      <c r="AY18" s="52">
        <f t="shared" ref="AY18" si="113">SUM(AY19:AY21)</f>
        <v>40000</v>
      </c>
      <c r="AZ18" s="52">
        <f t="shared" ref="AZ18" si="114">SUM(AZ19:AZ21)</f>
        <v>0</v>
      </c>
    </row>
    <row r="19" spans="1:52" ht="39.5" customHeight="1" x14ac:dyDescent="0.25">
      <c r="A19" s="210"/>
      <c r="B19" s="198" t="s">
        <v>93</v>
      </c>
      <c r="C19" s="30" t="s">
        <v>95</v>
      </c>
      <c r="D19" s="24"/>
      <c r="E19" s="54" t="s">
        <v>47</v>
      </c>
      <c r="F19" s="40"/>
      <c r="G19" s="57" t="s">
        <v>55</v>
      </c>
      <c r="H19" s="57" t="s">
        <v>55</v>
      </c>
      <c r="I19" s="57" t="s">
        <v>55</v>
      </c>
      <c r="J19" s="57" t="s">
        <v>55</v>
      </c>
      <c r="K19" s="67" t="s">
        <v>84</v>
      </c>
      <c r="L19" s="25">
        <v>1851000</v>
      </c>
      <c r="M19" s="25">
        <f>L19*100/100</f>
        <v>1851000</v>
      </c>
      <c r="N19" s="75">
        <f t="shared" si="19"/>
        <v>1</v>
      </c>
      <c r="O19" s="25">
        <v>0</v>
      </c>
      <c r="P19" s="75">
        <f t="shared" si="0"/>
        <v>0</v>
      </c>
      <c r="Q19" s="58">
        <v>249030</v>
      </c>
      <c r="R19" s="58">
        <v>231375</v>
      </c>
      <c r="S19" s="58">
        <v>231375</v>
      </c>
      <c r="T19" s="58">
        <v>231375</v>
      </c>
      <c r="U19" s="58">
        <v>231375</v>
      </c>
      <c r="V19" s="58">
        <v>231375</v>
      </c>
      <c r="W19" s="58">
        <v>231375</v>
      </c>
      <c r="X19" s="58">
        <v>213720</v>
      </c>
      <c r="Y19" s="63">
        <f>Q19+R19+S19</f>
        <v>711780</v>
      </c>
      <c r="Z19" s="63">
        <f>T19</f>
        <v>231375</v>
      </c>
      <c r="AA19" s="65">
        <f>U19</f>
        <v>231375</v>
      </c>
      <c r="AB19" s="63">
        <f>V19+W19+X19</f>
        <v>676470</v>
      </c>
      <c r="AC19" s="58">
        <f>Q19*$N$19</f>
        <v>249030</v>
      </c>
      <c r="AD19" s="58">
        <f t="shared" ref="AD19:AJ19" si="115">R19*$N$19</f>
        <v>231375</v>
      </c>
      <c r="AE19" s="58">
        <f t="shared" si="115"/>
        <v>231375</v>
      </c>
      <c r="AF19" s="58">
        <f t="shared" si="115"/>
        <v>231375</v>
      </c>
      <c r="AG19" s="58">
        <f t="shared" si="115"/>
        <v>231375</v>
      </c>
      <c r="AH19" s="58">
        <f t="shared" si="115"/>
        <v>231375</v>
      </c>
      <c r="AI19" s="58">
        <f t="shared" si="115"/>
        <v>231375</v>
      </c>
      <c r="AJ19" s="58">
        <f t="shared" si="115"/>
        <v>213720</v>
      </c>
      <c r="AK19" s="79">
        <f>AC19+AD19+AE19</f>
        <v>711780</v>
      </c>
      <c r="AL19" s="79">
        <f>AF19</f>
        <v>231375</v>
      </c>
      <c r="AM19" s="79">
        <f>AG19</f>
        <v>231375</v>
      </c>
      <c r="AN19" s="79">
        <f>AH19+AI19+AJ19</f>
        <v>676470</v>
      </c>
      <c r="AO19" s="58">
        <f>Q19*$P$19</f>
        <v>0</v>
      </c>
      <c r="AP19" s="58">
        <f t="shared" ref="AP19:AV19" si="116">R19*$P$19</f>
        <v>0</v>
      </c>
      <c r="AQ19" s="58">
        <f t="shared" si="116"/>
        <v>0</v>
      </c>
      <c r="AR19" s="58">
        <f t="shared" si="116"/>
        <v>0</v>
      </c>
      <c r="AS19" s="58">
        <f t="shared" si="116"/>
        <v>0</v>
      </c>
      <c r="AT19" s="58">
        <f t="shared" si="116"/>
        <v>0</v>
      </c>
      <c r="AU19" s="58">
        <f t="shared" si="116"/>
        <v>0</v>
      </c>
      <c r="AV19" s="58">
        <f t="shared" si="116"/>
        <v>0</v>
      </c>
      <c r="AW19" s="80">
        <f t="shared" si="67"/>
        <v>0</v>
      </c>
      <c r="AX19" s="80">
        <f t="shared" si="35"/>
        <v>0</v>
      </c>
      <c r="AY19" s="80">
        <f t="shared" si="36"/>
        <v>0</v>
      </c>
      <c r="AZ19" s="80">
        <f t="shared" si="37"/>
        <v>0</v>
      </c>
    </row>
    <row r="20" spans="1:52" ht="75" customHeight="1" x14ac:dyDescent="0.25">
      <c r="A20" s="210"/>
      <c r="B20" s="199"/>
      <c r="C20" s="98" t="s">
        <v>94</v>
      </c>
      <c r="D20" s="99">
        <v>1</v>
      </c>
      <c r="E20" s="100" t="s">
        <v>45</v>
      </c>
      <c r="F20" s="101"/>
      <c r="G20" s="102">
        <v>12</v>
      </c>
      <c r="H20" s="102" t="s">
        <v>53</v>
      </c>
      <c r="I20" s="102" t="s">
        <v>52</v>
      </c>
      <c r="J20" s="102">
        <v>48</v>
      </c>
      <c r="K20" s="103" t="s">
        <v>58</v>
      </c>
      <c r="L20" s="104">
        <v>2500000</v>
      </c>
      <c r="M20" s="104">
        <f>L20*84/100</f>
        <v>2100000</v>
      </c>
      <c r="N20" s="105">
        <f>M20/L20</f>
        <v>0.84</v>
      </c>
      <c r="O20" s="104">
        <f t="shared" si="61"/>
        <v>400000</v>
      </c>
      <c r="P20" s="105">
        <f t="shared" si="0"/>
        <v>0.16</v>
      </c>
      <c r="Q20" s="102">
        <f>$L$20*0.2</f>
        <v>500000</v>
      </c>
      <c r="R20" s="102">
        <f>$L$20*0.2</f>
        <v>500000</v>
      </c>
      <c r="S20" s="102">
        <f>$L$20*0.25</f>
        <v>625000</v>
      </c>
      <c r="T20" s="102">
        <f>$L$20*0.25</f>
        <v>625000</v>
      </c>
      <c r="U20" s="102">
        <f>$L$20*0.1</f>
        <v>250000</v>
      </c>
      <c r="V20" s="151">
        <v>0</v>
      </c>
      <c r="W20" s="151">
        <v>0</v>
      </c>
      <c r="X20" s="151">
        <v>0</v>
      </c>
      <c r="Y20" s="152">
        <f>Q20+R20</f>
        <v>1000000</v>
      </c>
      <c r="Z20" s="152">
        <f>S20</f>
        <v>625000</v>
      </c>
      <c r="AA20" s="153">
        <f>T20</f>
        <v>625000</v>
      </c>
      <c r="AB20" s="152">
        <f>U20+V20+W20+X20</f>
        <v>250000</v>
      </c>
      <c r="AC20" s="102">
        <f t="shared" ref="AC20:AJ20" si="117">Q20*$N$20</f>
        <v>420000</v>
      </c>
      <c r="AD20" s="102">
        <f t="shared" si="117"/>
        <v>420000</v>
      </c>
      <c r="AE20" s="102">
        <f t="shared" si="117"/>
        <v>525000</v>
      </c>
      <c r="AF20" s="102">
        <f t="shared" si="117"/>
        <v>525000</v>
      </c>
      <c r="AG20" s="102">
        <f t="shared" si="117"/>
        <v>210000</v>
      </c>
      <c r="AH20" s="102">
        <f t="shared" si="117"/>
        <v>0</v>
      </c>
      <c r="AI20" s="102">
        <f t="shared" si="117"/>
        <v>0</v>
      </c>
      <c r="AJ20" s="102">
        <f t="shared" si="117"/>
        <v>0</v>
      </c>
      <c r="AK20" s="154">
        <f>AC20+AD20+AE20</f>
        <v>1365000</v>
      </c>
      <c r="AL20" s="154">
        <f>AF20</f>
        <v>525000</v>
      </c>
      <c r="AM20" s="154">
        <f>AG20</f>
        <v>210000</v>
      </c>
      <c r="AN20" s="154">
        <f>AH20+AI20+AJ20</f>
        <v>0</v>
      </c>
      <c r="AO20" s="102">
        <f>Q20*$P$20</f>
        <v>80000</v>
      </c>
      <c r="AP20" s="102">
        <f t="shared" ref="AP20:AV20" si="118">R20*$P$20</f>
        <v>80000</v>
      </c>
      <c r="AQ20" s="102">
        <f t="shared" si="118"/>
        <v>100000</v>
      </c>
      <c r="AR20" s="102">
        <f t="shared" si="118"/>
        <v>100000</v>
      </c>
      <c r="AS20" s="102">
        <f t="shared" si="118"/>
        <v>40000</v>
      </c>
      <c r="AT20" s="102">
        <f t="shared" si="118"/>
        <v>0</v>
      </c>
      <c r="AU20" s="102">
        <f t="shared" si="118"/>
        <v>0</v>
      </c>
      <c r="AV20" s="102">
        <f t="shared" si="118"/>
        <v>0</v>
      </c>
      <c r="AW20" s="155">
        <f>AO20+AP20+AQ20</f>
        <v>260000</v>
      </c>
      <c r="AX20" s="155">
        <f>AR20</f>
        <v>100000</v>
      </c>
      <c r="AY20" s="155">
        <f>AS20</f>
        <v>40000</v>
      </c>
      <c r="AZ20" s="155">
        <f>AT20+AU20+AV20</f>
        <v>0</v>
      </c>
    </row>
    <row r="21" spans="1:52" ht="66.5" customHeight="1" x14ac:dyDescent="0.25">
      <c r="A21" s="210"/>
      <c r="B21" s="199"/>
      <c r="C21" s="157" t="s">
        <v>123</v>
      </c>
      <c r="D21" s="24">
        <v>5</v>
      </c>
      <c r="E21" s="97" t="s">
        <v>121</v>
      </c>
      <c r="F21" s="113"/>
      <c r="G21" s="38">
        <v>6</v>
      </c>
      <c r="H21" s="38" t="s">
        <v>124</v>
      </c>
      <c r="I21" s="38" t="s">
        <v>125</v>
      </c>
      <c r="J21" s="38">
        <v>6</v>
      </c>
      <c r="K21" s="156" t="s">
        <v>122</v>
      </c>
      <c r="L21" s="25">
        <v>100000</v>
      </c>
      <c r="M21" s="25">
        <f>L21*84/100</f>
        <v>84000</v>
      </c>
      <c r="N21" s="75">
        <f>M21/L21</f>
        <v>0.84</v>
      </c>
      <c r="O21" s="25">
        <f t="shared" si="61"/>
        <v>16000</v>
      </c>
      <c r="P21" s="75">
        <f t="shared" si="0"/>
        <v>0.16</v>
      </c>
      <c r="Q21" s="38">
        <v>100000</v>
      </c>
      <c r="R21" s="38"/>
      <c r="S21" s="38"/>
      <c r="T21" s="38"/>
      <c r="U21" s="38"/>
      <c r="V21" s="42"/>
      <c r="W21" s="158"/>
      <c r="X21" s="42"/>
      <c r="Y21" s="63">
        <f>Q21+R21</f>
        <v>100000</v>
      </c>
      <c r="Z21" s="63">
        <f>S21</f>
        <v>0</v>
      </c>
      <c r="AA21" s="65">
        <f t="shared" ref="AA21" si="119">T21</f>
        <v>0</v>
      </c>
      <c r="AB21" s="63">
        <f>SUM(U21:X21)</f>
        <v>0</v>
      </c>
      <c r="AC21" s="38">
        <v>0</v>
      </c>
      <c r="AD21" s="38">
        <v>50000</v>
      </c>
      <c r="AE21" s="38">
        <v>34000</v>
      </c>
      <c r="AF21" s="38">
        <f t="shared" ref="AF21:AJ21" si="120">T21*$N$19</f>
        <v>0</v>
      </c>
      <c r="AG21" s="38">
        <f t="shared" si="120"/>
        <v>0</v>
      </c>
      <c r="AH21" s="38">
        <f t="shared" si="120"/>
        <v>0</v>
      </c>
      <c r="AI21" s="38">
        <f t="shared" si="120"/>
        <v>0</v>
      </c>
      <c r="AJ21" s="38">
        <f t="shared" si="120"/>
        <v>0</v>
      </c>
      <c r="AK21" s="79">
        <f t="shared" ref="AK21" si="121">AC21+AD21</f>
        <v>50000</v>
      </c>
      <c r="AL21" s="79">
        <f t="shared" ref="AL21:AM21" si="122">AE21</f>
        <v>34000</v>
      </c>
      <c r="AM21" s="79">
        <f t="shared" si="122"/>
        <v>0</v>
      </c>
      <c r="AN21" s="79">
        <f t="shared" ref="AN21" si="123">SUM(AJ21,AG21,AH21,AI21)</f>
        <v>0</v>
      </c>
      <c r="AO21" s="38">
        <v>0</v>
      </c>
      <c r="AP21" s="38">
        <v>8000</v>
      </c>
      <c r="AQ21" s="38">
        <v>8000</v>
      </c>
      <c r="AR21" s="38">
        <v>0</v>
      </c>
      <c r="AS21" s="38">
        <v>0</v>
      </c>
      <c r="AT21" s="38">
        <v>0</v>
      </c>
      <c r="AU21" s="38">
        <v>0</v>
      </c>
      <c r="AV21" s="38">
        <v>0</v>
      </c>
      <c r="AW21" s="80">
        <f>AO21+AP21+AQ21</f>
        <v>16000</v>
      </c>
      <c r="AX21" s="80">
        <f>AR21</f>
        <v>0</v>
      </c>
      <c r="AY21" s="80">
        <f>AS21</f>
        <v>0</v>
      </c>
      <c r="AZ21" s="80">
        <f>AT21+AU21+AV21</f>
        <v>0</v>
      </c>
    </row>
    <row r="22" spans="1:52" s="85" customFormat="1" ht="34.5" customHeight="1" x14ac:dyDescent="0.35">
      <c r="B22" s="86"/>
      <c r="C22" s="86"/>
      <c r="D22" s="87"/>
      <c r="E22" s="87"/>
      <c r="F22" s="87"/>
      <c r="G22" s="87"/>
      <c r="H22" s="87"/>
      <c r="I22" s="87"/>
      <c r="J22" s="87"/>
      <c r="K22" s="106" t="s">
        <v>3</v>
      </c>
      <c r="L22" s="107">
        <f>L6+L10+L18</f>
        <v>93301000</v>
      </c>
      <c r="M22" s="108">
        <f>M6+M10+M18</f>
        <v>50000000</v>
      </c>
      <c r="N22" s="109">
        <f t="shared" si="19"/>
        <v>0.54</v>
      </c>
      <c r="O22" s="107">
        <f>O6+O10+O18</f>
        <v>43301000</v>
      </c>
      <c r="P22" s="109">
        <f t="shared" si="0"/>
        <v>0.46</v>
      </c>
      <c r="Q22" s="110">
        <f t="shared" ref="Q22:AZ22" si="124">Q6+Q10+Q18</f>
        <v>1249030</v>
      </c>
      <c r="R22" s="111">
        <f t="shared" si="124"/>
        <v>2768041</v>
      </c>
      <c r="S22" s="111">
        <f t="shared" si="124"/>
        <v>15450541</v>
      </c>
      <c r="T22" s="111">
        <f t="shared" si="124"/>
        <v>24860543</v>
      </c>
      <c r="U22" s="111">
        <f t="shared" si="124"/>
        <v>27823875</v>
      </c>
      <c r="V22" s="111">
        <f t="shared" si="124"/>
        <v>11103875</v>
      </c>
      <c r="W22" s="112">
        <f t="shared" si="124"/>
        <v>9831375</v>
      </c>
      <c r="X22" s="107">
        <f t="shared" si="124"/>
        <v>213720</v>
      </c>
      <c r="Y22" s="125">
        <f t="shared" si="124"/>
        <v>8782612</v>
      </c>
      <c r="Z22" s="125">
        <f t="shared" si="124"/>
        <v>14800543</v>
      </c>
      <c r="AA22" s="125">
        <f t="shared" si="124"/>
        <v>23398875</v>
      </c>
      <c r="AB22" s="125">
        <f t="shared" si="124"/>
        <v>46318970</v>
      </c>
      <c r="AC22" s="107">
        <f t="shared" si="124"/>
        <v>869030</v>
      </c>
      <c r="AD22" s="110">
        <f t="shared" si="124"/>
        <v>2071375</v>
      </c>
      <c r="AE22" s="111">
        <f t="shared" si="124"/>
        <v>9098595</v>
      </c>
      <c r="AF22" s="111">
        <f t="shared" si="124"/>
        <v>12633459</v>
      </c>
      <c r="AG22" s="111">
        <f t="shared" si="124"/>
        <v>14222821</v>
      </c>
      <c r="AH22" s="111">
        <f t="shared" si="124"/>
        <v>5763625</v>
      </c>
      <c r="AI22" s="112">
        <f t="shared" si="124"/>
        <v>5127375</v>
      </c>
      <c r="AJ22" s="107">
        <f t="shared" si="124"/>
        <v>213720</v>
      </c>
      <c r="AK22" s="125">
        <f t="shared" si="124"/>
        <v>6900000</v>
      </c>
      <c r="AL22" s="125">
        <f t="shared" si="124"/>
        <v>7712459</v>
      </c>
      <c r="AM22" s="125">
        <f t="shared" si="124"/>
        <v>11774821</v>
      </c>
      <c r="AN22" s="125">
        <f t="shared" si="124"/>
        <v>23612720</v>
      </c>
      <c r="AO22" s="107">
        <f t="shared" si="124"/>
        <v>280000</v>
      </c>
      <c r="AP22" s="110">
        <f t="shared" si="124"/>
        <v>971333</v>
      </c>
      <c r="AQ22" s="111">
        <f t="shared" si="124"/>
        <v>6365083</v>
      </c>
      <c r="AR22" s="111">
        <f t="shared" si="124"/>
        <v>11977084</v>
      </c>
      <c r="AS22" s="111">
        <f t="shared" si="124"/>
        <v>13663250</v>
      </c>
      <c r="AT22" s="111">
        <f t="shared" si="124"/>
        <v>5340250</v>
      </c>
      <c r="AU22" s="111">
        <f t="shared" si="124"/>
        <v>4704000</v>
      </c>
      <c r="AV22" s="112">
        <f t="shared" si="124"/>
        <v>0</v>
      </c>
      <c r="AW22" s="125">
        <f t="shared" si="124"/>
        <v>2586416</v>
      </c>
      <c r="AX22" s="125">
        <f t="shared" si="124"/>
        <v>6947084</v>
      </c>
      <c r="AY22" s="125">
        <f t="shared" si="124"/>
        <v>11311250</v>
      </c>
      <c r="AZ22" s="125">
        <f t="shared" si="124"/>
        <v>22456250</v>
      </c>
    </row>
    <row r="23" spans="1:52" ht="13" x14ac:dyDescent="0.25">
      <c r="A23" s="27"/>
      <c r="B23" s="27"/>
      <c r="C23" s="27"/>
      <c r="D23" s="23"/>
      <c r="E23" s="22"/>
      <c r="F23" s="1"/>
      <c r="G23" s="1"/>
      <c r="H23" s="1"/>
      <c r="I23" s="1"/>
      <c r="J23" s="1"/>
      <c r="K23" s="29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81"/>
      <c r="Z23" s="81"/>
      <c r="AA23" s="81"/>
      <c r="AB23" s="81"/>
      <c r="AC23" s="1"/>
      <c r="AD23" s="1"/>
      <c r="AE23" s="1"/>
      <c r="AF23" s="1"/>
      <c r="AG23" s="1"/>
      <c r="AH23" s="1"/>
      <c r="AI23" s="1"/>
      <c r="AJ23" s="1"/>
      <c r="AK23" s="81"/>
      <c r="AL23" s="81"/>
      <c r="AM23" s="81"/>
      <c r="AN23" s="81"/>
      <c r="AO23" s="1"/>
      <c r="AP23" s="1"/>
      <c r="AQ23" s="1"/>
      <c r="AR23" s="1"/>
      <c r="AS23" s="1"/>
      <c r="AT23" s="1"/>
      <c r="AU23" s="1"/>
      <c r="AV23" s="1"/>
      <c r="AW23" s="81"/>
      <c r="AX23" s="81"/>
      <c r="AY23" s="81"/>
      <c r="AZ23" s="81"/>
    </row>
    <row r="24" spans="1:52" ht="13" x14ac:dyDescent="0.25">
      <c r="M24" s="88"/>
      <c r="Y24" s="81"/>
      <c r="Z24" s="81"/>
      <c r="AA24" s="81"/>
      <c r="AB24" s="81"/>
      <c r="AK24" s="81"/>
      <c r="AL24" s="81"/>
      <c r="AM24" s="81"/>
      <c r="AN24" s="81"/>
      <c r="AW24" s="81"/>
      <c r="AX24" s="81"/>
      <c r="AY24" s="81"/>
      <c r="AZ24" s="81"/>
    </row>
    <row r="25" spans="1:52" x14ac:dyDescent="0.25">
      <c r="L25" s="88"/>
      <c r="N25" s="76"/>
      <c r="O25" s="76"/>
    </row>
    <row r="27" spans="1:52" x14ac:dyDescent="0.25">
      <c r="AG27" s="88">
        <f>6900000-AK22</f>
        <v>0</v>
      </c>
    </row>
  </sheetData>
  <mergeCells count="66">
    <mergeCell ref="AO3:AV3"/>
    <mergeCell ref="AW3:AZ3"/>
    <mergeCell ref="AO4:AO5"/>
    <mergeCell ref="AP4:AP5"/>
    <mergeCell ref="AQ4:AQ5"/>
    <mergeCell ref="AR4:AR5"/>
    <mergeCell ref="AS4:AS5"/>
    <mergeCell ref="AT4:AT5"/>
    <mergeCell ref="AU4:AU5"/>
    <mergeCell ref="AV4:AV5"/>
    <mergeCell ref="AW4:AW5"/>
    <mergeCell ref="AX4:AX5"/>
    <mergeCell ref="AY4:AY5"/>
    <mergeCell ref="AZ4:AZ5"/>
    <mergeCell ref="AC3:AJ3"/>
    <mergeCell ref="AK3:AN3"/>
    <mergeCell ref="AC4:AC5"/>
    <mergeCell ref="AD4:AD5"/>
    <mergeCell ref="AE4:AE5"/>
    <mergeCell ref="AF4:AF5"/>
    <mergeCell ref="AG4:AG5"/>
    <mergeCell ref="AH4:AH5"/>
    <mergeCell ref="AI4:AI5"/>
    <mergeCell ref="AJ4:AJ5"/>
    <mergeCell ref="AK4:AK5"/>
    <mergeCell ref="AL4:AL5"/>
    <mergeCell ref="AM4:AM5"/>
    <mergeCell ref="AN4:AN5"/>
    <mergeCell ref="A1:X2"/>
    <mergeCell ref="A3:A5"/>
    <mergeCell ref="B3:B5"/>
    <mergeCell ref="C3:C5"/>
    <mergeCell ref="D3:D5"/>
    <mergeCell ref="E3:K3"/>
    <mergeCell ref="L3:O3"/>
    <mergeCell ref="Q3:X3"/>
    <mergeCell ref="Q4:Q5"/>
    <mergeCell ref="R4:R5"/>
    <mergeCell ref="X4:X5"/>
    <mergeCell ref="Y3:AB3"/>
    <mergeCell ref="E4:F5"/>
    <mergeCell ref="G4:G5"/>
    <mergeCell ref="H4:H5"/>
    <mergeCell ref="I4:I5"/>
    <mergeCell ref="J4:J5"/>
    <mergeCell ref="K4:K5"/>
    <mergeCell ref="L4:L5"/>
    <mergeCell ref="M4:M5"/>
    <mergeCell ref="O4:O5"/>
    <mergeCell ref="S4:S5"/>
    <mergeCell ref="T4:T5"/>
    <mergeCell ref="U4:U5"/>
    <mergeCell ref="V4:V5"/>
    <mergeCell ref="W4:W5"/>
    <mergeCell ref="Y4:Y5"/>
    <mergeCell ref="A10:A15"/>
    <mergeCell ref="B11:B12"/>
    <mergeCell ref="B13:B15"/>
    <mergeCell ref="B16:B17"/>
    <mergeCell ref="A18:A21"/>
    <mergeCell ref="B19:B21"/>
    <mergeCell ref="Z4:Z5"/>
    <mergeCell ref="AA4:AA5"/>
    <mergeCell ref="AB4:AB5"/>
    <mergeCell ref="A6:A8"/>
    <mergeCell ref="B7:B8"/>
  </mergeCells>
  <phoneticPr fontId="20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A0C09-0130-004C-A37C-0C3571D5C129}">
  <dimension ref="B1:Q7"/>
  <sheetViews>
    <sheetView zoomScale="80" zoomScaleNormal="80" workbookViewId="0">
      <selection activeCell="Q7" sqref="Q7"/>
    </sheetView>
  </sheetViews>
  <sheetFormatPr defaultColWidth="10.81640625" defaultRowHeight="13" x14ac:dyDescent="0.3"/>
  <cols>
    <col min="1" max="1" width="2.7265625" style="129" customWidth="1"/>
    <col min="2" max="2" width="10.81640625" style="129"/>
    <col min="3" max="17" width="15" style="130" customWidth="1"/>
    <col min="18" max="16384" width="10.81640625" style="129"/>
  </cols>
  <sheetData>
    <row r="1" spans="2:17" ht="13.5" thickBot="1" x14ac:dyDescent="0.35"/>
    <row r="2" spans="2:17" ht="13.5" thickBot="1" x14ac:dyDescent="0.35">
      <c r="C2" s="247" t="s">
        <v>115</v>
      </c>
      <c r="D2" s="248"/>
      <c r="E2" s="249"/>
      <c r="F2" s="247" t="s">
        <v>116</v>
      </c>
      <c r="G2" s="248"/>
      <c r="H2" s="249"/>
      <c r="I2" s="247" t="s">
        <v>117</v>
      </c>
      <c r="J2" s="248"/>
      <c r="K2" s="249"/>
      <c r="L2" s="247" t="s">
        <v>118</v>
      </c>
      <c r="M2" s="248"/>
      <c r="N2" s="249"/>
      <c r="O2" s="247" t="s">
        <v>119</v>
      </c>
      <c r="P2" s="248"/>
      <c r="Q2" s="249"/>
    </row>
    <row r="3" spans="2:17" ht="26.5" thickBot="1" x14ac:dyDescent="0.35">
      <c r="C3" s="144" t="s">
        <v>111</v>
      </c>
      <c r="D3" s="145" t="s">
        <v>112</v>
      </c>
      <c r="E3" s="146" t="s">
        <v>113</v>
      </c>
      <c r="F3" s="144" t="s">
        <v>111</v>
      </c>
      <c r="G3" s="145" t="s">
        <v>112</v>
      </c>
      <c r="H3" s="146" t="s">
        <v>113</v>
      </c>
      <c r="I3" s="147" t="s">
        <v>111</v>
      </c>
      <c r="J3" s="148" t="s">
        <v>112</v>
      </c>
      <c r="K3" s="149" t="s">
        <v>113</v>
      </c>
      <c r="L3" s="147" t="s">
        <v>111</v>
      </c>
      <c r="M3" s="148" t="s">
        <v>112</v>
      </c>
      <c r="N3" s="149" t="s">
        <v>113</v>
      </c>
      <c r="O3" s="147" t="s">
        <v>111</v>
      </c>
      <c r="P3" s="148" t="s">
        <v>112</v>
      </c>
      <c r="Q3" s="149" t="s">
        <v>114</v>
      </c>
    </row>
    <row r="4" spans="2:17" ht="26" x14ac:dyDescent="0.3">
      <c r="B4" s="160" t="s">
        <v>109</v>
      </c>
      <c r="C4" s="131">
        <f>'SOP without reserve projects'!AK6</f>
        <v>2368750</v>
      </c>
      <c r="D4" s="134">
        <f>'SOP without reserve projects'!AW6</f>
        <v>1068750</v>
      </c>
      <c r="E4" s="137">
        <f>SUM(C4:D4)</f>
        <v>3437500</v>
      </c>
      <c r="F4" s="131">
        <f>'SOP without reserve projects'!AL6</f>
        <v>593750</v>
      </c>
      <c r="G4" s="134">
        <f>'SOP without reserve projects'!AX6</f>
        <v>593750</v>
      </c>
      <c r="H4" s="137">
        <f>SUM(F4:G4)</f>
        <v>1187500</v>
      </c>
      <c r="I4" s="131">
        <f>'SOP without reserve projects'!AM6</f>
        <v>593750</v>
      </c>
      <c r="J4" s="134">
        <f>'SOP without reserve projects'!AY6</f>
        <v>593750</v>
      </c>
      <c r="K4" s="137">
        <f>SUM(I4:J4)</f>
        <v>1187500</v>
      </c>
      <c r="L4" s="131">
        <f>'SOP without reserve projects'!AN6</f>
        <v>12358750</v>
      </c>
      <c r="M4" s="134">
        <f>'SOP without reserve projects'!AZ6</f>
        <v>11878750</v>
      </c>
      <c r="N4" s="137">
        <f>SUM(L4:M4)</f>
        <v>24237500</v>
      </c>
      <c r="O4" s="131">
        <f t="shared" ref="O4:P6" si="0">C4+F4+I4+L4</f>
        <v>15915000</v>
      </c>
      <c r="P4" s="134">
        <f t="shared" si="0"/>
        <v>14135000</v>
      </c>
      <c r="Q4" s="137">
        <f>SUM(O4:P4)</f>
        <v>30050000</v>
      </c>
    </row>
    <row r="5" spans="2:17" ht="26" x14ac:dyDescent="0.3">
      <c r="B5" s="127" t="s">
        <v>110</v>
      </c>
      <c r="C5" s="132">
        <f>'SOP without reserve projects'!AK10</f>
        <v>2404470</v>
      </c>
      <c r="D5" s="135">
        <f>'SOP without reserve projects'!AW10</f>
        <v>1241666</v>
      </c>
      <c r="E5" s="137">
        <f t="shared" ref="E5:E6" si="1">SUM(C5:D5)</f>
        <v>3646136</v>
      </c>
      <c r="F5" s="132">
        <f>'SOP without reserve projects'!AL10</f>
        <v>6328334</v>
      </c>
      <c r="G5" s="135">
        <f>'SOP without reserve projects'!AX10</f>
        <v>6253334</v>
      </c>
      <c r="H5" s="137">
        <f t="shared" ref="H5:H6" si="2">SUM(F5:G5)</f>
        <v>12581668</v>
      </c>
      <c r="I5" s="132">
        <f>'SOP without reserve projects'!AM10</f>
        <v>10739696</v>
      </c>
      <c r="J5" s="135">
        <f>'SOP without reserve projects'!AY10</f>
        <v>10677500</v>
      </c>
      <c r="K5" s="137">
        <f t="shared" ref="K5:K6" si="3">SUM(I5:J5)</f>
        <v>21417196</v>
      </c>
      <c r="L5" s="132">
        <f>'SOP without reserve projects'!AN10</f>
        <v>10577500</v>
      </c>
      <c r="M5" s="135">
        <f>'SOP without reserve projects'!AZ10</f>
        <v>10577500</v>
      </c>
      <c r="N5" s="137">
        <f t="shared" ref="N5:N6" si="4">SUM(L5:M5)</f>
        <v>21155000</v>
      </c>
      <c r="O5" s="131">
        <f t="shared" si="0"/>
        <v>30050000</v>
      </c>
      <c r="P5" s="134">
        <f t="shared" si="0"/>
        <v>28750000</v>
      </c>
      <c r="Q5" s="137">
        <f t="shared" ref="Q5:Q6" si="5">SUM(O5:P5)</f>
        <v>58800000</v>
      </c>
    </row>
    <row r="6" spans="2:17" ht="26.5" thickBot="1" x14ac:dyDescent="0.35">
      <c r="B6" s="128" t="s">
        <v>107</v>
      </c>
      <c r="C6" s="133">
        <f>'SOP without reserve projects'!AK18</f>
        <v>2126780</v>
      </c>
      <c r="D6" s="136">
        <f>'SOP without reserve projects'!AW18</f>
        <v>276000</v>
      </c>
      <c r="E6" s="140">
        <f t="shared" si="1"/>
        <v>2402780</v>
      </c>
      <c r="F6" s="133">
        <f>'SOP without reserve projects'!AL18</f>
        <v>790375</v>
      </c>
      <c r="G6" s="136">
        <f>'SOP without reserve projects'!AX18</f>
        <v>100000</v>
      </c>
      <c r="H6" s="140">
        <f t="shared" si="2"/>
        <v>890375</v>
      </c>
      <c r="I6" s="133">
        <f>'SOP without reserve projects'!AM18</f>
        <v>441375</v>
      </c>
      <c r="J6" s="136">
        <f>'SOP without reserve projects'!AY18</f>
        <v>40000</v>
      </c>
      <c r="K6" s="140">
        <f t="shared" si="3"/>
        <v>481375</v>
      </c>
      <c r="L6" s="133">
        <f>'SOP without reserve projects'!AN18</f>
        <v>676470</v>
      </c>
      <c r="M6" s="136">
        <f>'SOP without reserve projects'!AZ18</f>
        <v>0</v>
      </c>
      <c r="N6" s="140">
        <f t="shared" si="4"/>
        <v>676470</v>
      </c>
      <c r="O6" s="131">
        <f>C6+F6+I6+L6</f>
        <v>4035000</v>
      </c>
      <c r="P6" s="134">
        <f t="shared" si="0"/>
        <v>416000</v>
      </c>
      <c r="Q6" s="137">
        <f t="shared" si="5"/>
        <v>4451000</v>
      </c>
    </row>
    <row r="7" spans="2:17" ht="13.5" thickBot="1" x14ac:dyDescent="0.35">
      <c r="B7" s="139" t="s">
        <v>108</v>
      </c>
      <c r="C7" s="138">
        <f>SUM(C4:C6)</f>
        <v>6900000</v>
      </c>
      <c r="D7" s="141">
        <f t="shared" ref="D7:F7" si="6">SUM(D4:D6)</f>
        <v>2586416</v>
      </c>
      <c r="E7" s="142">
        <f t="shared" si="6"/>
        <v>9486416</v>
      </c>
      <c r="F7" s="138">
        <f t="shared" si="6"/>
        <v>7712459</v>
      </c>
      <c r="G7" s="141">
        <f t="shared" ref="G7" si="7">SUM(G4:G6)</f>
        <v>6947084</v>
      </c>
      <c r="H7" s="142">
        <f t="shared" ref="H7:I7" si="8">SUM(H4:H6)</f>
        <v>14659543</v>
      </c>
      <c r="I7" s="138">
        <f t="shared" si="8"/>
        <v>11774821</v>
      </c>
      <c r="J7" s="141">
        <f t="shared" ref="J7" si="9">SUM(J4:J6)</f>
        <v>11311250</v>
      </c>
      <c r="K7" s="142">
        <f t="shared" ref="K7" si="10">SUM(K4:K6)</f>
        <v>23086071</v>
      </c>
      <c r="L7" s="143">
        <f>SUM(L4:L6)</f>
        <v>23612720</v>
      </c>
      <c r="M7" s="141">
        <f t="shared" ref="M7" si="11">SUM(M4:M6)</f>
        <v>22456250</v>
      </c>
      <c r="N7" s="142">
        <f t="shared" ref="N7" si="12">SUM(N4:N6)</f>
        <v>46068970</v>
      </c>
      <c r="O7" s="143">
        <f>SUM(O4:O6)</f>
        <v>50000000</v>
      </c>
      <c r="P7" s="141">
        <f>SUM(P4:P6)</f>
        <v>43301000</v>
      </c>
      <c r="Q7" s="142">
        <f>SUM(Q4:Q6)</f>
        <v>93301000</v>
      </c>
    </row>
  </sheetData>
  <mergeCells count="5">
    <mergeCell ref="C2:E2"/>
    <mergeCell ref="F2:H2"/>
    <mergeCell ref="I2:K2"/>
    <mergeCell ref="L2:N2"/>
    <mergeCell ref="O2:Q2"/>
  </mergeCells>
  <phoneticPr fontId="2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IPA III 2024-2027 Actions</vt:lpstr>
      <vt:lpstr>AF</vt:lpstr>
      <vt:lpstr>SOP without reserve projects</vt:lpstr>
      <vt:lpstr>OP Finacial Table</vt:lpstr>
      <vt:lpstr>AF!Print_Area</vt:lpstr>
      <vt:lpstr>'IPA III 2024-2027 Actions'!Print_Area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Slavkoska</dc:creator>
  <cp:lastModifiedBy>Kalina Markovic Ilic</cp:lastModifiedBy>
  <cp:revision>0</cp:revision>
  <cp:lastPrinted>2023-04-11T13:12:36Z</cp:lastPrinted>
  <dcterms:created xsi:type="dcterms:W3CDTF">2022-08-19T08:03:36Z</dcterms:created>
  <dcterms:modified xsi:type="dcterms:W3CDTF">2023-11-13T13:42:57Z</dcterms:modified>
</cp:coreProperties>
</file>