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https://d.docs.live.net/15d3426a45c6398f/Documents/1. SUPRAE - North Macedonia/5. SOPs programming/SOP Human Capital/2nd SOP for EC/OP and OISs Jobs and Opportunities FINAL version/"/>
    </mc:Choice>
  </mc:AlternateContent>
  <xr:revisionPtr revIDLastSave="81" documentId="11_624AB378C2020A51A60A3FBB9E6548CAFE06BA70" xr6:coauthVersionLast="47" xr6:coauthVersionMax="47" xr10:uidLastSave="{135E8364-E1B0-4815-8F0B-79C3A329A1E3}"/>
  <bookViews>
    <workbookView xWindow="-110" yWindow="-110" windowWidth="19420" windowHeight="11500" tabRatio="500" activeTab="2" xr2:uid="{00000000-000D-0000-FFFF-FFFF00000000}"/>
  </bookViews>
  <sheets>
    <sheet name="IPA III 2024-2027 Actions" sheetId="1" state="hidden" r:id="rId1"/>
    <sheet name="AF" sheetId="2" state="hidden" r:id="rId2"/>
    <sheet name="SOP without reserve projects" sheetId="3" r:id="rId3"/>
    <sheet name="Financial table for OP" sheetId="5" r:id="rId4"/>
    <sheet name="Cross-check" sheetId="4" r:id="rId5"/>
  </sheets>
  <definedNames>
    <definedName name="_xlnm.Print_Area" localSheetId="1">AF!$A$1:$H$14</definedName>
    <definedName name="_xlnm.Print_Area" localSheetId="0">'IPA III 2024-2027 Actions'!$A$1:$J$37</definedName>
    <definedName name="_xlnm.Print_Area" localSheetId="2">'SOP without reserve projects'!$A$1:$AB$47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smNativeData">
      <pm:revision xmlns:pm="smNativeData" day="1698359497" val="766" rev="120"/>
      <pm:docPrefs xmlns:pm="smNativeData" id="1698359497" fixedDigits="0" showNotice="1" showFrameBounds="1" autoChart="1" recalcOnPrint="1" recalcOnCopy="1" compatTextArt="1" tab="567" useDefinedPrintRange="1" printArea="currentSheet"/>
      <pm:compatibility xmlns:pm="smNativeData" id="1698359497" overlapCells="1"/>
      <pm:defCurrency xmlns:pm="smNativeData" id="1698359497"/>
    </ext>
  </extLst>
</workbook>
</file>

<file path=xl/calcChain.xml><?xml version="1.0" encoding="utf-8"?>
<calcChain xmlns="http://schemas.openxmlformats.org/spreadsheetml/2006/main">
  <c r="F7" i="5" l="1"/>
  <c r="Y27" i="3"/>
  <c r="AN27" i="3"/>
  <c r="L6" i="5"/>
  <c r="L5" i="5"/>
  <c r="K6" i="5"/>
  <c r="M6" i="5" s="1"/>
  <c r="K5" i="5"/>
  <c r="I7" i="5"/>
  <c r="I6" i="5"/>
  <c r="I5" i="5"/>
  <c r="H7" i="5"/>
  <c r="H6" i="5"/>
  <c r="H5" i="5"/>
  <c r="F6" i="5"/>
  <c r="F5" i="5"/>
  <c r="E7" i="5"/>
  <c r="G7" i="5" s="1"/>
  <c r="E6" i="5"/>
  <c r="E5" i="5"/>
  <c r="AK28" i="3"/>
  <c r="N27" i="3"/>
  <c r="P27" i="3"/>
  <c r="C6" i="5"/>
  <c r="O6" i="5" s="1"/>
  <c r="C7" i="5"/>
  <c r="C5" i="5"/>
  <c r="B6" i="5"/>
  <c r="B5" i="5"/>
  <c r="F8" i="5"/>
  <c r="J6" i="5"/>
  <c r="J7" i="5" l="1"/>
  <c r="I8" i="5"/>
  <c r="H8" i="5"/>
  <c r="J5" i="5"/>
  <c r="J8" i="5" s="1"/>
  <c r="G6" i="5"/>
  <c r="G5" i="5"/>
  <c r="N6" i="5"/>
  <c r="P6" i="5" s="1"/>
  <c r="E8" i="5"/>
  <c r="C8" i="5"/>
  <c r="D6" i="5"/>
  <c r="N5" i="5"/>
  <c r="D5" i="5"/>
  <c r="M5" i="5"/>
  <c r="O5" i="5"/>
  <c r="G8" i="5" l="1"/>
  <c r="P5" i="5"/>
  <c r="AF28" i="4" l="1"/>
  <c r="BB27" i="4"/>
  <c r="AY27" i="4"/>
  <c r="AX27" i="4"/>
  <c r="AW27" i="4"/>
  <c r="AQ27" i="4"/>
  <c r="AP27" i="4"/>
  <c r="AO27" i="4"/>
  <c r="AN27" i="4"/>
  <c r="AL27" i="4"/>
  <c r="AL23" i="4" s="1"/>
  <c r="AK27" i="4"/>
  <c r="AK23" i="4" s="1"/>
  <c r="AJ27" i="4"/>
  <c r="AI27" i="4"/>
  <c r="AH27" i="4"/>
  <c r="AG27" i="4"/>
  <c r="AG23" i="4" s="1"/>
  <c r="AF27" i="4"/>
  <c r="AE27" i="4"/>
  <c r="X27" i="4"/>
  <c r="V27" i="4"/>
  <c r="U27" i="4"/>
  <c r="W27" i="4" s="1"/>
  <c r="O27" i="4"/>
  <c r="M27" i="4"/>
  <c r="L27" i="4"/>
  <c r="K27" i="4"/>
  <c r="R27" i="4" s="1"/>
  <c r="AF26" i="4"/>
  <c r="AF23" i="4" s="1"/>
  <c r="AE26" i="4"/>
  <c r="AB26" i="4"/>
  <c r="Z26" i="4"/>
  <c r="W26" i="4"/>
  <c r="S26" i="4"/>
  <c r="R26" i="4"/>
  <c r="T26" i="4" s="1"/>
  <c r="P26" i="4"/>
  <c r="Q26" i="4" s="1"/>
  <c r="M26" i="4"/>
  <c r="AX26" i="4" s="1"/>
  <c r="K26" i="4"/>
  <c r="O26" i="4" s="1"/>
  <c r="AO25" i="4"/>
  <c r="AF25" i="4"/>
  <c r="AE25" i="4"/>
  <c r="AA25" i="4"/>
  <c r="Z25" i="4"/>
  <c r="W25" i="4"/>
  <c r="R25" i="4"/>
  <c r="O25" i="4"/>
  <c r="M25" i="4"/>
  <c r="AX25" i="4" s="1"/>
  <c r="K25" i="4"/>
  <c r="AN25" i="4" s="1"/>
  <c r="AZ24" i="4"/>
  <c r="AY24" i="4"/>
  <c r="AX24" i="4"/>
  <c r="AW24" i="4"/>
  <c r="AQ24" i="4"/>
  <c r="AP24" i="4"/>
  <c r="AO24" i="4"/>
  <c r="AN24" i="4"/>
  <c r="AH24" i="4"/>
  <c r="AG24" i="4"/>
  <c r="AF24" i="4"/>
  <c r="AE24" i="4"/>
  <c r="Y24" i="4"/>
  <c r="X24" i="4"/>
  <c r="Z24" i="4" s="1"/>
  <c r="W24" i="4"/>
  <c r="V24" i="4"/>
  <c r="V23" i="4" s="1"/>
  <c r="U24" i="4"/>
  <c r="S24" i="4"/>
  <c r="R24" i="4"/>
  <c r="T24" i="4" s="1"/>
  <c r="P24" i="4"/>
  <c r="AB24" i="4" s="1"/>
  <c r="O24" i="4"/>
  <c r="M24" i="4"/>
  <c r="L24" i="4"/>
  <c r="K24" i="4"/>
  <c r="BM23" i="4"/>
  <c r="BL23" i="4"/>
  <c r="BK23" i="4"/>
  <c r="BJ23" i="4"/>
  <c r="BI23" i="4"/>
  <c r="BH23" i="4"/>
  <c r="BG23" i="4"/>
  <c r="BF23" i="4"/>
  <c r="BB23" i="4"/>
  <c r="AQ23" i="4"/>
  <c r="AP23" i="4"/>
  <c r="AJ23" i="4"/>
  <c r="AI23" i="4"/>
  <c r="AH23" i="4"/>
  <c r="X23" i="4"/>
  <c r="O23" i="4"/>
  <c r="J23" i="4"/>
  <c r="BB22" i="4"/>
  <c r="AU22" i="4"/>
  <c r="AT22" i="4"/>
  <c r="AS22" i="4"/>
  <c r="AL22" i="4"/>
  <c r="AK22" i="4"/>
  <c r="AJ22" i="4"/>
  <c r="X22" i="4"/>
  <c r="R22" i="4"/>
  <c r="Q22" i="4"/>
  <c r="M22" i="4"/>
  <c r="Y22" i="4" s="1"/>
  <c r="L22" i="4"/>
  <c r="K22" i="4"/>
  <c r="U22" i="4" s="1"/>
  <c r="BM21" i="4"/>
  <c r="BL21" i="4"/>
  <c r="BK21" i="4"/>
  <c r="BD21" i="4"/>
  <c r="BC21" i="4"/>
  <c r="AL21" i="4"/>
  <c r="AK21" i="4"/>
  <c r="AK13" i="4" s="1"/>
  <c r="AJ21" i="4"/>
  <c r="Y21" i="4"/>
  <c r="Z21" i="4" s="1"/>
  <c r="V21" i="4"/>
  <c r="AB21" i="4" s="1"/>
  <c r="U21" i="4"/>
  <c r="W21" i="4" s="1"/>
  <c r="T21" i="4"/>
  <c r="Q21" i="4"/>
  <c r="M21" i="4"/>
  <c r="BB21" i="4" s="1"/>
  <c r="K21" i="4"/>
  <c r="X21" i="4" s="1"/>
  <c r="BL20" i="4"/>
  <c r="BK20" i="4"/>
  <c r="BJ20" i="4"/>
  <c r="BJ13" i="4" s="1"/>
  <c r="AB20" i="4"/>
  <c r="AC20" i="4" s="1"/>
  <c r="AA20" i="4"/>
  <c r="Z20" i="4"/>
  <c r="W20" i="4"/>
  <c r="T20" i="4"/>
  <c r="Q20" i="4"/>
  <c r="M20" i="4"/>
  <c r="N20" i="4" s="1"/>
  <c r="L20" i="4"/>
  <c r="BD19" i="4"/>
  <c r="BC19" i="4"/>
  <c r="BB19" i="4"/>
  <c r="BA19" i="4"/>
  <c r="AL19" i="4"/>
  <c r="AK19" i="4"/>
  <c r="AJ19" i="4"/>
  <c r="AI19" i="4"/>
  <c r="AI13" i="4" s="1"/>
  <c r="AB19" i="4"/>
  <c r="Y19" i="4"/>
  <c r="V19" i="4"/>
  <c r="U19" i="4"/>
  <c r="W19" i="4" s="1"/>
  <c r="S19" i="4"/>
  <c r="Q19" i="4"/>
  <c r="M19" i="4"/>
  <c r="N19" i="4" s="1"/>
  <c r="K19" i="4"/>
  <c r="BK18" i="4"/>
  <c r="BJ18" i="4"/>
  <c r="BI18" i="4"/>
  <c r="BH18" i="4"/>
  <c r="BG18" i="4"/>
  <c r="AB18" i="4"/>
  <c r="V18" i="4"/>
  <c r="S18" i="4"/>
  <c r="BF18" i="4" s="1"/>
  <c r="R18" i="4"/>
  <c r="T18" i="4" s="1"/>
  <c r="P18" i="4"/>
  <c r="M18" i="4"/>
  <c r="Y18" i="4" s="1"/>
  <c r="K18" i="4"/>
  <c r="BK17" i="4"/>
  <c r="BJ17" i="4"/>
  <c r="BI17" i="4"/>
  <c r="AC17" i="4"/>
  <c r="AB17" i="4"/>
  <c r="AA17" i="4"/>
  <c r="Z17" i="4"/>
  <c r="W17" i="4"/>
  <c r="T17" i="4"/>
  <c r="Q17" i="4"/>
  <c r="N17" i="4"/>
  <c r="M17" i="4"/>
  <c r="L17" i="4"/>
  <c r="BM16" i="4"/>
  <c r="BL16" i="4"/>
  <c r="BK16" i="4"/>
  <c r="BD16" i="4"/>
  <c r="AU16" i="4"/>
  <c r="AT16" i="4"/>
  <c r="AS16" i="4"/>
  <c r="AL16" i="4"/>
  <c r="AK16" i="4"/>
  <c r="AJ16" i="4"/>
  <c r="AA16" i="4"/>
  <c r="X16" i="4"/>
  <c r="T16" i="4"/>
  <c r="Q16" i="4"/>
  <c r="M16" i="4"/>
  <c r="L16" i="4"/>
  <c r="K16" i="4"/>
  <c r="U16" i="4" s="1"/>
  <c r="BM15" i="4"/>
  <c r="BK15" i="4"/>
  <c r="BK13" i="4" s="1"/>
  <c r="BI15" i="4"/>
  <c r="BI13" i="4" s="1"/>
  <c r="BD15" i="4"/>
  <c r="BB15" i="4"/>
  <c r="AZ15" i="4"/>
  <c r="AL15" i="4"/>
  <c r="AJ15" i="4"/>
  <c r="AJ13" i="4" s="1"/>
  <c r="AH15" i="4"/>
  <c r="AB15" i="4"/>
  <c r="Y15" i="4"/>
  <c r="X15" i="4"/>
  <c r="Z15" i="4" s="1"/>
  <c r="V15" i="4"/>
  <c r="U15" i="4"/>
  <c r="W15" i="4" s="1"/>
  <c r="T15" i="4"/>
  <c r="P15" i="4"/>
  <c r="M15" i="4"/>
  <c r="N15" i="4" s="1"/>
  <c r="L15" i="4"/>
  <c r="K15" i="4"/>
  <c r="BD14" i="4"/>
  <c r="BC14" i="4"/>
  <c r="BB14" i="4"/>
  <c r="AZ14" i="4"/>
  <c r="AZ13" i="4" s="1"/>
  <c r="AU14" i="4"/>
  <c r="AL14" i="4"/>
  <c r="AK14" i="4"/>
  <c r="AJ14" i="4"/>
  <c r="AI14" i="4"/>
  <c r="AH14" i="4"/>
  <c r="V14" i="4"/>
  <c r="U14" i="4"/>
  <c r="W14" i="4" s="1"/>
  <c r="M14" i="4"/>
  <c r="P14" i="4" s="1"/>
  <c r="K14" i="4"/>
  <c r="BH13" i="4"/>
  <c r="BG13" i="4"/>
  <c r="BF13" i="4"/>
  <c r="AY13" i="4"/>
  <c r="AX13" i="4"/>
  <c r="AW13" i="4"/>
  <c r="AP13" i="4"/>
  <c r="AO13" i="4"/>
  <c r="AN13" i="4"/>
  <c r="AL13" i="4"/>
  <c r="AH13" i="4"/>
  <c r="AG13" i="4"/>
  <c r="AF13" i="4"/>
  <c r="AE13" i="4"/>
  <c r="P13" i="4"/>
  <c r="J13" i="4"/>
  <c r="AZ12" i="4"/>
  <c r="AY12" i="4"/>
  <c r="AX12" i="4"/>
  <c r="AR12" i="4"/>
  <c r="AI12" i="4"/>
  <c r="AH12" i="4"/>
  <c r="AG12" i="4"/>
  <c r="AF12" i="4"/>
  <c r="M12" i="4"/>
  <c r="BA12" i="4" s="1"/>
  <c r="K12" i="4"/>
  <c r="U12" i="4" s="1"/>
  <c r="AQ11" i="4"/>
  <c r="AP11" i="4"/>
  <c r="AI11" i="4"/>
  <c r="AH11" i="4"/>
  <c r="AG11" i="4"/>
  <c r="AF11" i="4"/>
  <c r="O11" i="4"/>
  <c r="M11" i="4"/>
  <c r="Y11" i="4" s="1"/>
  <c r="K11" i="4"/>
  <c r="X11" i="4" s="1"/>
  <c r="Z11" i="4" s="1"/>
  <c r="BD10" i="4"/>
  <c r="BC10" i="4"/>
  <c r="BB10" i="4"/>
  <c r="BA10" i="4"/>
  <c r="AL10" i="4"/>
  <c r="AK10" i="4"/>
  <c r="AJ10" i="4"/>
  <c r="AI10" i="4"/>
  <c r="Y10" i="4"/>
  <c r="X10" i="4"/>
  <c r="Z10" i="4" s="1"/>
  <c r="V10" i="4"/>
  <c r="AB10" i="4" s="1"/>
  <c r="T10" i="4"/>
  <c r="Q10" i="4"/>
  <c r="N10" i="4"/>
  <c r="M10" i="4"/>
  <c r="K10" i="4"/>
  <c r="BA9" i="4"/>
  <c r="AZ9" i="4"/>
  <c r="AY9" i="4"/>
  <c r="AX9" i="4"/>
  <c r="AP9" i="4"/>
  <c r="AO9" i="4"/>
  <c r="AI9" i="4"/>
  <c r="AH9" i="4"/>
  <c r="AG9" i="4"/>
  <c r="AF9" i="4"/>
  <c r="S9" i="4"/>
  <c r="R9" i="4"/>
  <c r="T9" i="4" s="1"/>
  <c r="P9" i="4"/>
  <c r="AB9" i="4" s="1"/>
  <c r="O9" i="4"/>
  <c r="AA9" i="4" s="1"/>
  <c r="AC9" i="4" s="1"/>
  <c r="N9" i="4"/>
  <c r="M9" i="4"/>
  <c r="K9" i="4"/>
  <c r="AR9" i="4" s="1"/>
  <c r="AZ8" i="4"/>
  <c r="AJ8" i="4"/>
  <c r="AI8" i="4"/>
  <c r="AI6" i="4" s="1"/>
  <c r="AI28" i="4" s="1"/>
  <c r="AH8" i="4"/>
  <c r="AH6" i="4" s="1"/>
  <c r="AH28" i="4" s="1"/>
  <c r="AG8" i="4"/>
  <c r="AF8" i="4"/>
  <c r="AF6" i="4" s="1"/>
  <c r="Y8" i="4"/>
  <c r="X8" i="4"/>
  <c r="Z8" i="4" s="1"/>
  <c r="O8" i="4"/>
  <c r="M8" i="4"/>
  <c r="AY8" i="4" s="1"/>
  <c r="K8" i="4"/>
  <c r="AS8" i="4" s="1"/>
  <c r="AL7" i="4"/>
  <c r="AK7" i="4"/>
  <c r="AJ7" i="4"/>
  <c r="AI7" i="4"/>
  <c r="AH7" i="4"/>
  <c r="AG7" i="4"/>
  <c r="M7" i="4"/>
  <c r="K7" i="4"/>
  <c r="R7" i="4" s="1"/>
  <c r="BM6" i="4"/>
  <c r="BL6" i="4"/>
  <c r="BK6" i="4"/>
  <c r="BJ6" i="4"/>
  <c r="BI6" i="4"/>
  <c r="BH6" i="4"/>
  <c r="BG6" i="4"/>
  <c r="BF6" i="4"/>
  <c r="AW6" i="4"/>
  <c r="AN6" i="4"/>
  <c r="AL6" i="4"/>
  <c r="AL28" i="4" s="1"/>
  <c r="AK6" i="4"/>
  <c r="AJ6" i="4"/>
  <c r="AJ28" i="4" s="1"/>
  <c r="AE6" i="4"/>
  <c r="K6" i="4"/>
  <c r="J6" i="4"/>
  <c r="J28" i="4" s="1"/>
  <c r="V28" i="3"/>
  <c r="L28" i="3"/>
  <c r="BB6" i="3" s="1"/>
  <c r="AG27" i="3"/>
  <c r="AG23" i="3" s="1"/>
  <c r="AB27" i="3"/>
  <c r="AA27" i="3"/>
  <c r="Z27" i="3"/>
  <c r="X27" i="3"/>
  <c r="W27" i="3"/>
  <c r="V27" i="3"/>
  <c r="U27" i="3"/>
  <c r="T27" i="3"/>
  <c r="T23" i="3" s="1"/>
  <c r="S27" i="3"/>
  <c r="S23" i="3" s="1"/>
  <c r="R27" i="3"/>
  <c r="Q27" i="3"/>
  <c r="M27" i="3"/>
  <c r="AL27" i="3" s="1"/>
  <c r="AC26" i="3"/>
  <c r="Z26" i="3"/>
  <c r="Y26" i="3"/>
  <c r="R26" i="3"/>
  <c r="Q26" i="3"/>
  <c r="M26" i="3"/>
  <c r="AC25" i="3"/>
  <c r="Z25" i="3"/>
  <c r="Y25" i="3"/>
  <c r="Y23" i="3" s="1"/>
  <c r="R25" i="3"/>
  <c r="R23" i="3" s="1"/>
  <c r="R28" i="3" s="1"/>
  <c r="Q25" i="3"/>
  <c r="M25" i="3"/>
  <c r="AN24" i="3"/>
  <c r="AD24" i="3"/>
  <c r="AC24" i="3"/>
  <c r="AB24" i="3"/>
  <c r="AB23" i="3" s="1"/>
  <c r="AA24" i="3"/>
  <c r="AA23" i="3" s="1"/>
  <c r="Z24" i="3"/>
  <c r="Z23" i="3" s="1"/>
  <c r="Y24" i="3"/>
  <c r="T24" i="3"/>
  <c r="S24" i="3"/>
  <c r="R24" i="3"/>
  <c r="Q24" i="3"/>
  <c r="Q23" i="3" s="1"/>
  <c r="Q28" i="3" s="1"/>
  <c r="O24" i="3"/>
  <c r="AZ24" i="3" s="1"/>
  <c r="N24" i="3"/>
  <c r="M24" i="3"/>
  <c r="AL24" i="3" s="1"/>
  <c r="X23" i="3"/>
  <c r="W23" i="3"/>
  <c r="V23" i="3"/>
  <c r="U23" i="3"/>
  <c r="L23" i="3"/>
  <c r="BB23" i="3" s="1"/>
  <c r="AB22" i="3"/>
  <c r="AA22" i="3"/>
  <c r="Z22" i="3"/>
  <c r="X22" i="3"/>
  <c r="W22" i="3"/>
  <c r="V22" i="3"/>
  <c r="M22" i="3"/>
  <c r="BB21" i="3"/>
  <c r="AN21" i="3"/>
  <c r="AJ21" i="3"/>
  <c r="AB21" i="3"/>
  <c r="AA21" i="3"/>
  <c r="X21" i="3"/>
  <c r="W21" i="3"/>
  <c r="V21" i="3"/>
  <c r="U21" i="3"/>
  <c r="T21" i="3"/>
  <c r="S21" i="3"/>
  <c r="S13" i="3" s="1"/>
  <c r="R21" i="3"/>
  <c r="Q21" i="3"/>
  <c r="Q13" i="3" s="1"/>
  <c r="O21" i="3"/>
  <c r="AZ21" i="3" s="1"/>
  <c r="M21" i="3"/>
  <c r="P20" i="3"/>
  <c r="O20" i="3"/>
  <c r="N20" i="3"/>
  <c r="O19" i="3"/>
  <c r="P19" i="3" s="1"/>
  <c r="N19" i="3"/>
  <c r="O18" i="3"/>
  <c r="P18" i="3" s="1"/>
  <c r="N18" i="3"/>
  <c r="BB17" i="3"/>
  <c r="AX17" i="3"/>
  <c r="AV17" i="3"/>
  <c r="AU17" i="3"/>
  <c r="AL17" i="3"/>
  <c r="AJ17" i="3"/>
  <c r="AI17" i="3"/>
  <c r="AH17" i="3"/>
  <c r="AG17" i="3"/>
  <c r="AB17" i="3"/>
  <c r="AA17" i="3"/>
  <c r="Z17" i="3"/>
  <c r="X17" i="3"/>
  <c r="W17" i="3"/>
  <c r="W13" i="3" s="1"/>
  <c r="V17" i="3"/>
  <c r="U17" i="3"/>
  <c r="M17" i="3"/>
  <c r="O17" i="3" s="1"/>
  <c r="AZ17" i="3" s="1"/>
  <c r="AH16" i="3"/>
  <c r="AB16" i="3"/>
  <c r="AA16" i="3"/>
  <c r="AA13" i="3" s="1"/>
  <c r="X16" i="3"/>
  <c r="W16" i="3"/>
  <c r="V16" i="3"/>
  <c r="M16" i="3"/>
  <c r="N16" i="3" s="1"/>
  <c r="BB15" i="3"/>
  <c r="AZ15" i="3"/>
  <c r="AY15" i="3"/>
  <c r="AW15" i="3"/>
  <c r="AT15" i="3"/>
  <c r="AR15" i="3"/>
  <c r="AN15" i="3"/>
  <c r="AM15" i="3"/>
  <c r="AK15" i="3"/>
  <c r="AJ15" i="3"/>
  <c r="AH15" i="3"/>
  <c r="AF15" i="3"/>
  <c r="AB15" i="3"/>
  <c r="AA15" i="3"/>
  <c r="Y15" i="3"/>
  <c r="X15" i="3"/>
  <c r="V15" i="3"/>
  <c r="T15" i="3"/>
  <c r="P15" i="3"/>
  <c r="O15" i="3"/>
  <c r="AV15" i="3" s="1"/>
  <c r="N15" i="3"/>
  <c r="AZ14" i="3"/>
  <c r="AY14" i="3"/>
  <c r="AX14" i="3"/>
  <c r="AR14" i="3"/>
  <c r="AR13" i="3" s="1"/>
  <c r="AN14" i="3"/>
  <c r="AM14" i="3"/>
  <c r="AL14" i="3"/>
  <c r="AK14" i="3"/>
  <c r="AJ14" i="3"/>
  <c r="AI14" i="3"/>
  <c r="AH14" i="3"/>
  <c r="AG14" i="3"/>
  <c r="AG13" i="3" s="1"/>
  <c r="AF14" i="3"/>
  <c r="AF13" i="3" s="1"/>
  <c r="AB14" i="3"/>
  <c r="AB13" i="3" s="1"/>
  <c r="AA14" i="3"/>
  <c r="Z14" i="3"/>
  <c r="Y14" i="3"/>
  <c r="X14" i="3"/>
  <c r="W14" i="3"/>
  <c r="V14" i="3"/>
  <c r="V13" i="3" s="1"/>
  <c r="U14" i="3"/>
  <c r="U13" i="3" s="1"/>
  <c r="T14" i="3"/>
  <c r="O14" i="3"/>
  <c r="N14" i="3"/>
  <c r="BB13" i="3"/>
  <c r="AQ13" i="3"/>
  <c r="AP13" i="3"/>
  <c r="AO13" i="3"/>
  <c r="AE13" i="3"/>
  <c r="AD13" i="3"/>
  <c r="AC13" i="3"/>
  <c r="Z13" i="3"/>
  <c r="Y13" i="3"/>
  <c r="X13" i="3"/>
  <c r="R13" i="3"/>
  <c r="L13" i="3"/>
  <c r="AM12" i="3"/>
  <c r="AL12" i="3"/>
  <c r="AB12" i="3"/>
  <c r="AA12" i="3"/>
  <c r="Z12" i="3"/>
  <c r="Y12" i="3"/>
  <c r="U12" i="3"/>
  <c r="T12" i="3"/>
  <c r="S12" i="3"/>
  <c r="R12" i="3"/>
  <c r="M12" i="3"/>
  <c r="BB11" i="3"/>
  <c r="AR11" i="3"/>
  <c r="AN11" i="3"/>
  <c r="AM11" i="3"/>
  <c r="AL11" i="3"/>
  <c r="AG11" i="3"/>
  <c r="AF11" i="3"/>
  <c r="AE11" i="3"/>
  <c r="AD11" i="3"/>
  <c r="AB11" i="3"/>
  <c r="AA11" i="3"/>
  <c r="Z11" i="3"/>
  <c r="Y11" i="3"/>
  <c r="U11" i="3"/>
  <c r="T11" i="3"/>
  <c r="S11" i="3"/>
  <c r="S6" i="3" s="1"/>
  <c r="R11" i="3"/>
  <c r="O11" i="3"/>
  <c r="N11" i="3"/>
  <c r="M11" i="3"/>
  <c r="AK11" i="3" s="1"/>
  <c r="BB10" i="3"/>
  <c r="AZ10" i="3"/>
  <c r="AJ10" i="3"/>
  <c r="AI10" i="3"/>
  <c r="AG10" i="3"/>
  <c r="AB10" i="3"/>
  <c r="AA10" i="3"/>
  <c r="X10" i="3"/>
  <c r="W10" i="3"/>
  <c r="V10" i="3"/>
  <c r="U10" i="3"/>
  <c r="O10" i="3"/>
  <c r="AY10" i="3" s="1"/>
  <c r="N10" i="3"/>
  <c r="M10" i="3"/>
  <c r="AH10" i="3" s="1"/>
  <c r="AE9" i="3"/>
  <c r="AD9" i="3"/>
  <c r="Z9" i="3"/>
  <c r="Z6" i="3" s="1"/>
  <c r="Z28" i="3" s="1"/>
  <c r="Y9" i="3"/>
  <c r="U9" i="3"/>
  <c r="T9" i="3"/>
  <c r="S9" i="3"/>
  <c r="R9" i="3"/>
  <c r="M9" i="3"/>
  <c r="AK9" i="3" s="1"/>
  <c r="BB8" i="3"/>
  <c r="AN8" i="3"/>
  <c r="AL8" i="3"/>
  <c r="AG8" i="3"/>
  <c r="AF8" i="3"/>
  <c r="AE8" i="3"/>
  <c r="AD8" i="3"/>
  <c r="AB8" i="3"/>
  <c r="AA8" i="3"/>
  <c r="Z8" i="3"/>
  <c r="Y8" i="3"/>
  <c r="V8" i="3"/>
  <c r="U8" i="3"/>
  <c r="T8" i="3"/>
  <c r="S8" i="3"/>
  <c r="R8" i="3"/>
  <c r="N8" i="3"/>
  <c r="M8" i="3"/>
  <c r="AB7" i="3"/>
  <c r="AB6" i="3" s="1"/>
  <c r="AB28" i="3" s="1"/>
  <c r="AA7" i="3"/>
  <c r="Z7" i="3"/>
  <c r="Y7" i="3"/>
  <c r="Y6" i="3" s="1"/>
  <c r="Y28" i="3" s="1"/>
  <c r="X7" i="3"/>
  <c r="X6" i="3" s="1"/>
  <c r="W7" i="3"/>
  <c r="W6" i="3" s="1"/>
  <c r="V7" i="3"/>
  <c r="V6" i="3" s="1"/>
  <c r="U7" i="3"/>
  <c r="T7" i="3"/>
  <c r="S7" i="3"/>
  <c r="M7" i="3"/>
  <c r="AN7" i="3" s="1"/>
  <c r="AO6" i="3"/>
  <c r="AC6" i="3"/>
  <c r="T6" i="3"/>
  <c r="R6" i="3"/>
  <c r="Q6" i="3"/>
  <c r="L6" i="3"/>
  <c r="F6" i="3"/>
  <c r="G22" i="2"/>
  <c r="F22" i="2"/>
  <c r="E22" i="2"/>
  <c r="G21" i="2"/>
  <c r="F21" i="2"/>
  <c r="E21" i="2"/>
  <c r="G20" i="2"/>
  <c r="F20" i="2"/>
  <c r="E20" i="2"/>
  <c r="G19" i="2"/>
  <c r="F19" i="2"/>
  <c r="E19" i="2"/>
  <c r="G18" i="2"/>
  <c r="F18" i="2"/>
  <c r="E18" i="2"/>
  <c r="G12" i="2"/>
  <c r="F12" i="2"/>
  <c r="E12" i="2"/>
  <c r="H11" i="2"/>
  <c r="D11" i="2"/>
  <c r="B11" i="2"/>
  <c r="B12" i="2" s="1"/>
  <c r="D10" i="2"/>
  <c r="C10" i="2"/>
  <c r="H10" i="2" s="1"/>
  <c r="H22" i="2" s="1"/>
  <c r="H9" i="2"/>
  <c r="H21" i="2" s="1"/>
  <c r="D9" i="2"/>
  <c r="D12" i="2" s="1"/>
  <c r="C9" i="2"/>
  <c r="D8" i="2"/>
  <c r="C8" i="2"/>
  <c r="H8" i="2" s="1"/>
  <c r="H20" i="2" s="1"/>
  <c r="D7" i="2"/>
  <c r="C7" i="2"/>
  <c r="H7" i="2" s="1"/>
  <c r="H19" i="2" s="1"/>
  <c r="D6" i="2"/>
  <c r="C6" i="2"/>
  <c r="C12" i="2" s="1"/>
  <c r="I18" i="1"/>
  <c r="H18" i="1"/>
  <c r="G18" i="1"/>
  <c r="D18" i="1"/>
  <c r="J17" i="1"/>
  <c r="F17" i="1"/>
  <c r="C16" i="1"/>
  <c r="J15" i="1"/>
  <c r="F15" i="1"/>
  <c r="E15" i="1"/>
  <c r="C15" i="1"/>
  <c r="F10" i="1"/>
  <c r="E10" i="1"/>
  <c r="J10" i="1" s="1"/>
  <c r="F8" i="1"/>
  <c r="F18" i="1" s="1"/>
  <c r="E8" i="1"/>
  <c r="J8" i="1" s="1"/>
  <c r="F6" i="1"/>
  <c r="E6" i="1"/>
  <c r="S28" i="3" l="1"/>
  <c r="W23" i="4"/>
  <c r="AD6" i="3"/>
  <c r="AL23" i="3"/>
  <c r="U28" i="3"/>
  <c r="AN6" i="3"/>
  <c r="Q8" i="4"/>
  <c r="W12" i="4"/>
  <c r="AF12" i="3"/>
  <c r="AE12" i="3"/>
  <c r="AD12" i="3"/>
  <c r="AA6" i="3"/>
  <c r="AA28" i="3" s="1"/>
  <c r="AJ27" i="3"/>
  <c r="AJ23" i="3" s="1"/>
  <c r="BM28" i="4"/>
  <c r="O23" i="3"/>
  <c r="AP7" i="4"/>
  <c r="AP6" i="4" s="1"/>
  <c r="AP28" i="4" s="1"/>
  <c r="AG9" i="3"/>
  <c r="BA7" i="4"/>
  <c r="N7" i="4"/>
  <c r="M6" i="4"/>
  <c r="AY7" i="4"/>
  <c r="AY6" i="4" s="1"/>
  <c r="AY28" i="4" s="1"/>
  <c r="Y7" i="4"/>
  <c r="V7" i="4"/>
  <c r="N12" i="4"/>
  <c r="W16" i="4"/>
  <c r="AW14" i="3"/>
  <c r="AW13" i="3" s="1"/>
  <c r="AV14" i="3"/>
  <c r="AU14" i="3"/>
  <c r="AT14" i="3"/>
  <c r="AS14" i="3"/>
  <c r="AS13" i="3" s="1"/>
  <c r="BB25" i="3"/>
  <c r="P7" i="4"/>
  <c r="AZ7" i="4"/>
  <c r="P11" i="4"/>
  <c r="AA21" i="4"/>
  <c r="AC21" i="4" s="1"/>
  <c r="R23" i="4"/>
  <c r="T23" i="4"/>
  <c r="AW25" i="4"/>
  <c r="BA27" i="4"/>
  <c r="BA23" i="4" s="1"/>
  <c r="AZ27" i="4"/>
  <c r="BD27" i="4"/>
  <c r="BD23" i="4" s="1"/>
  <c r="S27" i="4"/>
  <c r="T27" i="4" s="1"/>
  <c r="BC27" i="4"/>
  <c r="BC23" i="4" s="1"/>
  <c r="P27" i="4"/>
  <c r="Y27" i="4"/>
  <c r="Y23" i="4" s="1"/>
  <c r="AL9" i="3"/>
  <c r="AU10" i="3"/>
  <c r="P14" i="3"/>
  <c r="AK24" i="3"/>
  <c r="AD26" i="3"/>
  <c r="O26" i="3"/>
  <c r="AL26" i="3"/>
  <c r="AK26" i="3"/>
  <c r="BB7" i="4"/>
  <c r="S11" i="4"/>
  <c r="O14" i="4"/>
  <c r="X14" i="4"/>
  <c r="AQ14" i="4"/>
  <c r="AQ13" i="4" s="1"/>
  <c r="R14" i="4"/>
  <c r="K13" i="4"/>
  <c r="L13" i="4" s="1"/>
  <c r="AR14" i="4"/>
  <c r="AR13" i="4" s="1"/>
  <c r="BC16" i="4"/>
  <c r="BC13" i="4" s="1"/>
  <c r="BB16" i="4"/>
  <c r="V16" i="4"/>
  <c r="Y16" i="4"/>
  <c r="Z16" i="4" s="1"/>
  <c r="Z22" i="4"/>
  <c r="U23" i="4"/>
  <c r="S23" i="4"/>
  <c r="AX23" i="4"/>
  <c r="N27" i="4"/>
  <c r="AF27" i="3"/>
  <c r="AE27" i="3"/>
  <c r="O27" i="3"/>
  <c r="AM27" i="3"/>
  <c r="AN23" i="3"/>
  <c r="K7" i="5" s="1"/>
  <c r="AN12" i="3"/>
  <c r="AL22" i="3"/>
  <c r="AL13" i="3" s="1"/>
  <c r="AJ22" i="3"/>
  <c r="AI27" i="3"/>
  <c r="AI23" i="3" s="1"/>
  <c r="BL28" i="4"/>
  <c r="N12" i="3"/>
  <c r="N22" i="3"/>
  <c r="L12" i="4"/>
  <c r="O12" i="3"/>
  <c r="N11" i="4"/>
  <c r="AE7" i="3"/>
  <c r="AE6" i="3" s="1"/>
  <c r="AC23" i="3"/>
  <c r="AC28" i="3" s="1"/>
  <c r="AQ7" i="4"/>
  <c r="Q11" i="4"/>
  <c r="Q24" i="4"/>
  <c r="AF7" i="3"/>
  <c r="X18" i="4"/>
  <c r="Z18" i="4" s="1"/>
  <c r="U18" i="4"/>
  <c r="W18" i="4" s="1"/>
  <c r="O18" i="4"/>
  <c r="L18" i="4"/>
  <c r="AA22" i="4"/>
  <c r="AG7" i="3"/>
  <c r="AV10" i="3"/>
  <c r="T13" i="3"/>
  <c r="T28" i="3" s="1"/>
  <c r="BB18" i="3"/>
  <c r="N26" i="3"/>
  <c r="BC7" i="4"/>
  <c r="BC6" i="4" s="1"/>
  <c r="L14" i="4"/>
  <c r="AS14" i="4"/>
  <c r="AS13" i="4" s="1"/>
  <c r="N16" i="4"/>
  <c r="BL18" i="4"/>
  <c r="BL13" i="4" s="1"/>
  <c r="AY23" i="4"/>
  <c r="AA26" i="4"/>
  <c r="AC26" i="4" s="1"/>
  <c r="AA27" i="4"/>
  <c r="AY21" i="3"/>
  <c r="AV21" i="3"/>
  <c r="AK28" i="4"/>
  <c r="Q9" i="4"/>
  <c r="AP12" i="4"/>
  <c r="AO12" i="4"/>
  <c r="R12" i="4"/>
  <c r="T12" i="4" s="1"/>
  <c r="AQ12" i="4"/>
  <c r="O12" i="4"/>
  <c r="X12" i="4"/>
  <c r="AY17" i="3"/>
  <c r="AT17" i="3"/>
  <c r="P17" i="3"/>
  <c r="AS17" i="3"/>
  <c r="L6" i="4"/>
  <c r="BA11" i="4"/>
  <c r="AZ11" i="4"/>
  <c r="AY11" i="4"/>
  <c r="V11" i="4"/>
  <c r="AX11" i="4"/>
  <c r="V22" i="4"/>
  <c r="V13" i="4" s="1"/>
  <c r="BD22" i="4"/>
  <c r="BD13" i="4" s="1"/>
  <c r="BC22" i="4"/>
  <c r="S22" i="4"/>
  <c r="AB22" i="4" s="1"/>
  <c r="AJ16" i="3"/>
  <c r="AJ13" i="3" s="1"/>
  <c r="AN16" i="3"/>
  <c r="M13" i="3"/>
  <c r="N13" i="3" s="1"/>
  <c r="O16" i="3"/>
  <c r="O22" i="3"/>
  <c r="O13" i="3" s="1"/>
  <c r="P13" i="3" s="1"/>
  <c r="L7" i="4"/>
  <c r="O7" i="4"/>
  <c r="AR7" i="4"/>
  <c r="U7" i="4"/>
  <c r="AU7" i="4"/>
  <c r="AU6" i="4" s="1"/>
  <c r="X7" i="4"/>
  <c r="AT7" i="4"/>
  <c r="AT6" i="4" s="1"/>
  <c r="AS7" i="4"/>
  <c r="AS6" i="4" s="1"/>
  <c r="S12" i="4"/>
  <c r="P12" i="4"/>
  <c r="Y12" i="4"/>
  <c r="N22" i="4"/>
  <c r="AK13" i="3"/>
  <c r="M23" i="3"/>
  <c r="N23" i="3" s="1"/>
  <c r="AF24" i="3"/>
  <c r="AE24" i="3"/>
  <c r="AM24" i="3"/>
  <c r="S7" i="4"/>
  <c r="BD7" i="4"/>
  <c r="BD6" i="4" s="1"/>
  <c r="V12" i="4"/>
  <c r="AT14" i="4"/>
  <c r="AT13" i="4" s="1"/>
  <c r="BM18" i="4"/>
  <c r="BM13" i="4" s="1"/>
  <c r="AZ23" i="4"/>
  <c r="H23" i="2"/>
  <c r="P21" i="3"/>
  <c r="W28" i="3"/>
  <c r="L19" i="4"/>
  <c r="X19" i="4"/>
  <c r="Z19" i="4" s="1"/>
  <c r="X28" i="3"/>
  <c r="AX8" i="4"/>
  <c r="V8" i="4"/>
  <c r="S8" i="4"/>
  <c r="AS19" i="4"/>
  <c r="S25" i="4"/>
  <c r="T25" i="4" s="1"/>
  <c r="P25" i="4"/>
  <c r="AT10" i="3"/>
  <c r="AS10" i="3"/>
  <c r="AI16" i="3"/>
  <c r="AI13" i="3" s="1"/>
  <c r="BB27" i="3"/>
  <c r="BB7" i="3"/>
  <c r="BB22" i="3"/>
  <c r="BB9" i="3"/>
  <c r="BB16" i="3"/>
  <c r="BB19" i="3"/>
  <c r="BB12" i="3"/>
  <c r="N8" i="4"/>
  <c r="BB13" i="4"/>
  <c r="AT19" i="4"/>
  <c r="N25" i="4"/>
  <c r="U6" i="3"/>
  <c r="P10" i="3"/>
  <c r="AM16" i="3"/>
  <c r="AM13" i="3" s="1"/>
  <c r="R19" i="4"/>
  <c r="AU19" i="4"/>
  <c r="AG12" i="3"/>
  <c r="BB14" i="3"/>
  <c r="BB20" i="3"/>
  <c r="AN22" i="3"/>
  <c r="AK25" i="3"/>
  <c r="O25" i="3"/>
  <c r="AD25" i="3"/>
  <c r="AL25" i="3"/>
  <c r="AC27" i="3"/>
  <c r="AG6" i="4"/>
  <c r="AG28" i="4" s="1"/>
  <c r="P8" i="4"/>
  <c r="AH27" i="3"/>
  <c r="AH23" i="3" s="1"/>
  <c r="AL7" i="3"/>
  <c r="AM7" i="3"/>
  <c r="AK7" i="3"/>
  <c r="AJ7" i="3"/>
  <c r="AJ6" i="3" s="1"/>
  <c r="AH7" i="3"/>
  <c r="AI7" i="3"/>
  <c r="AI6" i="3" s="1"/>
  <c r="O7" i="3"/>
  <c r="N7" i="3"/>
  <c r="AR19" i="4"/>
  <c r="AH22" i="3"/>
  <c r="AR24" i="3"/>
  <c r="AY24" i="3"/>
  <c r="AX24" i="3"/>
  <c r="AW24" i="3"/>
  <c r="AP24" i="3"/>
  <c r="AQ24" i="3"/>
  <c r="AO24" i="3"/>
  <c r="BA8" i="4"/>
  <c r="U13" i="4"/>
  <c r="O9" i="3"/>
  <c r="AF9" i="3"/>
  <c r="N9" i="3"/>
  <c r="AI22" i="3"/>
  <c r="P24" i="3"/>
  <c r="BF28" i="4"/>
  <c r="BB8" i="4"/>
  <c r="E18" i="1"/>
  <c r="E22" i="1" s="1"/>
  <c r="AM22" i="3"/>
  <c r="BB24" i="3"/>
  <c r="Q25" i="4"/>
  <c r="AP11" i="3"/>
  <c r="AZ11" i="3"/>
  <c r="AY11" i="3"/>
  <c r="AX11" i="3"/>
  <c r="AW11" i="3"/>
  <c r="AS11" i="3"/>
  <c r="AT21" i="3"/>
  <c r="J6" i="1"/>
  <c r="J18" i="1" s="1"/>
  <c r="M6" i="3"/>
  <c r="P11" i="3"/>
  <c r="AQ11" i="3"/>
  <c r="AK12" i="3"/>
  <c r="AM21" i="3"/>
  <c r="N21" i="3"/>
  <c r="AI21" i="3"/>
  <c r="AH21" i="3"/>
  <c r="AH13" i="3" s="1"/>
  <c r="AU21" i="3"/>
  <c r="N25" i="3"/>
  <c r="BB26" i="3"/>
  <c r="AD27" i="3"/>
  <c r="AD23" i="3" s="1"/>
  <c r="L10" i="4"/>
  <c r="AU10" i="4"/>
  <c r="U10" i="4"/>
  <c r="AT10" i="4"/>
  <c r="AS10" i="4"/>
  <c r="AR10" i="4"/>
  <c r="AU15" i="4"/>
  <c r="AU13" i="4" s="1"/>
  <c r="AS15" i="4"/>
  <c r="AQ15" i="4"/>
  <c r="O15" i="4"/>
  <c r="R8" i="4"/>
  <c r="R6" i="4" s="1"/>
  <c r="AN26" i="4"/>
  <c r="AN23" i="4" s="1"/>
  <c r="AN28" i="4" s="1"/>
  <c r="K5" i="2"/>
  <c r="AK8" i="3"/>
  <c r="O8" i="3"/>
  <c r="AH8" i="3"/>
  <c r="AM10" i="3"/>
  <c r="AM17" i="3"/>
  <c r="BH28" i="4"/>
  <c r="AP8" i="4"/>
  <c r="U11" i="4"/>
  <c r="N14" i="4"/>
  <c r="AS21" i="4"/>
  <c r="AE23" i="4"/>
  <c r="AE28" i="4" s="1"/>
  <c r="L26" i="4"/>
  <c r="AO26" i="4"/>
  <c r="AO23" i="4" s="1"/>
  <c r="AR27" i="4"/>
  <c r="AR23" i="4" s="1"/>
  <c r="AN10" i="3"/>
  <c r="N17" i="3"/>
  <c r="AN17" i="3"/>
  <c r="BI28" i="4"/>
  <c r="AQ8" i="4"/>
  <c r="N18" i="4"/>
  <c r="L21" i="4"/>
  <c r="AT21" i="4"/>
  <c r="M23" i="4"/>
  <c r="N23" i="4" s="1"/>
  <c r="AW26" i="4"/>
  <c r="AS27" i="4"/>
  <c r="AS23" i="4" s="1"/>
  <c r="AM8" i="3"/>
  <c r="BJ28" i="4"/>
  <c r="U8" i="4"/>
  <c r="AR8" i="4"/>
  <c r="M13" i="4"/>
  <c r="N13" i="4" s="1"/>
  <c r="AU21" i="4"/>
  <c r="K23" i="4"/>
  <c r="L23" i="4" s="1"/>
  <c r="N24" i="4"/>
  <c r="N26" i="4"/>
  <c r="AT27" i="4"/>
  <c r="AT23" i="4" s="1"/>
  <c r="BG28" i="4"/>
  <c r="AO8" i="4"/>
  <c r="AR11" i="4"/>
  <c r="H6" i="2"/>
  <c r="BK28" i="4"/>
  <c r="S14" i="4"/>
  <c r="N21" i="4"/>
  <c r="AA24" i="4"/>
  <c r="AU27" i="4"/>
  <c r="AU23" i="4" s="1"/>
  <c r="AQ9" i="4"/>
  <c r="AO11" i="4"/>
  <c r="R11" i="4"/>
  <c r="AW23" i="4"/>
  <c r="AW28" i="4" s="1"/>
  <c r="L8" i="4"/>
  <c r="L11" i="4"/>
  <c r="Y14" i="4"/>
  <c r="Y13" i="4" s="1"/>
  <c r="BA14" i="4"/>
  <c r="BA13" i="4" s="1"/>
  <c r="L25" i="4"/>
  <c r="K8" i="5" l="1"/>
  <c r="R28" i="4"/>
  <c r="AB7" i="4"/>
  <c r="P6" i="4"/>
  <c r="AH6" i="3"/>
  <c r="AH28" i="3" s="1"/>
  <c r="AJ28" i="3"/>
  <c r="R13" i="4"/>
  <c r="T14" i="4"/>
  <c r="T11" i="4"/>
  <c r="AA11" i="4"/>
  <c r="AL6" i="3"/>
  <c r="AL28" i="3" s="1"/>
  <c r="AB25" i="4"/>
  <c r="P23" i="4"/>
  <c r="X6" i="4"/>
  <c r="X28" i="4" s="1"/>
  <c r="Z7" i="4"/>
  <c r="Z6" i="4" s="1"/>
  <c r="Z28" i="4" s="1"/>
  <c r="W22" i="4"/>
  <c r="W13" i="4" s="1"/>
  <c r="Q14" i="4"/>
  <c r="AA14" i="4"/>
  <c r="O13" i="4"/>
  <c r="AQ23" i="3"/>
  <c r="BD28" i="4"/>
  <c r="AU28" i="4"/>
  <c r="AA23" i="4"/>
  <c r="AC24" i="4"/>
  <c r="AB8" i="4"/>
  <c r="S6" i="4"/>
  <c r="S28" i="4" s="1"/>
  <c r="U6" i="4"/>
  <c r="U28" i="4" s="1"/>
  <c r="W7" i="4"/>
  <c r="W6" i="4" s="1"/>
  <c r="AG6" i="3"/>
  <c r="AG28" i="3" s="1"/>
  <c r="BB6" i="4"/>
  <c r="BB28" i="4" s="1"/>
  <c r="T7" i="4"/>
  <c r="T6" i="4" s="1"/>
  <c r="AU7" i="3"/>
  <c r="AU6" i="3" s="1"/>
  <c r="O6" i="3"/>
  <c r="P6" i="3" s="1"/>
  <c r="P7" i="3"/>
  <c r="AX7" i="3"/>
  <c r="AV7" i="3"/>
  <c r="AV6" i="3" s="1"/>
  <c r="AT7" i="3"/>
  <c r="AT6" i="3" s="1"/>
  <c r="AS7" i="3"/>
  <c r="AR7" i="3"/>
  <c r="AW7" i="3"/>
  <c r="AQ7" i="3"/>
  <c r="AZ7" i="3"/>
  <c r="AY7" i="3"/>
  <c r="AQ6" i="4"/>
  <c r="AQ28" i="4" s="1"/>
  <c r="AW27" i="3"/>
  <c r="AV27" i="3"/>
  <c r="AV23" i="3" s="1"/>
  <c r="AQ27" i="3"/>
  <c r="AP27" i="3"/>
  <c r="AO27" i="3"/>
  <c r="AZ23" i="3"/>
  <c r="AY27" i="3"/>
  <c r="AX27" i="3"/>
  <c r="AS27" i="3"/>
  <c r="AS23" i="3" s="1"/>
  <c r="AU27" i="3"/>
  <c r="AU23" i="3" s="1"/>
  <c r="AT27" i="3"/>
  <c r="AT23" i="3" s="1"/>
  <c r="AR27" i="3"/>
  <c r="AR23" i="3" s="1"/>
  <c r="T19" i="4"/>
  <c r="AA19" i="4"/>
  <c r="AC19" i="4" s="1"/>
  <c r="Z27" i="4"/>
  <c r="Z23" i="4" s="1"/>
  <c r="AM6" i="3"/>
  <c r="AM28" i="3" s="1"/>
  <c r="AT28" i="4"/>
  <c r="X13" i="4"/>
  <c r="Z14" i="4"/>
  <c r="Z13" i="4" s="1"/>
  <c r="T8" i="4"/>
  <c r="AA8" i="4"/>
  <c r="AC8" i="4" s="1"/>
  <c r="AS12" i="3"/>
  <c r="AP12" i="3"/>
  <c r="AZ12" i="3"/>
  <c r="AR12" i="3"/>
  <c r="AX12" i="3"/>
  <c r="AW12" i="3"/>
  <c r="AY12" i="3"/>
  <c r="P12" i="3"/>
  <c r="AQ12" i="3"/>
  <c r="AV13" i="3"/>
  <c r="W8" i="4"/>
  <c r="Q15" i="4"/>
  <c r="AA15" i="4"/>
  <c r="AC15" i="4" s="1"/>
  <c r="AM23" i="3"/>
  <c r="AR6" i="4"/>
  <c r="AR28" i="4" s="1"/>
  <c r="T22" i="4"/>
  <c r="AA12" i="4"/>
  <c r="Q12" i="4"/>
  <c r="AI28" i="3"/>
  <c r="AW8" i="3"/>
  <c r="P8" i="3"/>
  <c r="AZ8" i="3"/>
  <c r="AY8" i="3"/>
  <c r="AP8" i="3"/>
  <c r="AP6" i="3" s="1"/>
  <c r="AX8" i="3"/>
  <c r="AS8" i="3"/>
  <c r="AR8" i="3"/>
  <c r="AQ8" i="3"/>
  <c r="AT8" i="3"/>
  <c r="AR9" i="3"/>
  <c r="AS9" i="3"/>
  <c r="AX9" i="3"/>
  <c r="AW9" i="3"/>
  <c r="P9" i="3"/>
  <c r="AQ9" i="3"/>
  <c r="AP9" i="3"/>
  <c r="AB12" i="4"/>
  <c r="O28" i="3"/>
  <c r="P28" i="3" s="1"/>
  <c r="P23" i="3"/>
  <c r="AK6" i="3"/>
  <c r="AT13" i="3"/>
  <c r="AE23" i="3"/>
  <c r="AX6" i="4"/>
  <c r="AX28" i="4" s="1"/>
  <c r="P26" i="3"/>
  <c r="AW26" i="3"/>
  <c r="AP26" i="3"/>
  <c r="AO26" i="3"/>
  <c r="AX26" i="3"/>
  <c r="P25" i="3"/>
  <c r="AW25" i="3"/>
  <c r="AW23" i="3" s="1"/>
  <c r="AP25" i="3"/>
  <c r="AP23" i="3" s="1"/>
  <c r="AO25" i="3"/>
  <c r="AO23" i="3" s="1"/>
  <c r="AO28" i="3" s="1"/>
  <c r="AX25" i="3"/>
  <c r="AX23" i="3" s="1"/>
  <c r="P16" i="3"/>
  <c r="AU16" i="3"/>
  <c r="AU13" i="3" s="1"/>
  <c r="AT16" i="3"/>
  <c r="AZ16" i="3"/>
  <c r="AY16" i="3"/>
  <c r="AY13" i="3" s="1"/>
  <c r="AV16" i="3"/>
  <c r="N6" i="4"/>
  <c r="M28" i="4"/>
  <c r="N28" i="4" s="1"/>
  <c r="AA10" i="4"/>
  <c r="AC10" i="4" s="1"/>
  <c r="W10" i="4"/>
  <c r="AB16" i="4"/>
  <c r="AC16" i="4" s="1"/>
  <c r="AK23" i="3"/>
  <c r="B7" i="5" s="1"/>
  <c r="AB11" i="4"/>
  <c r="BC28" i="4"/>
  <c r="G23" i="2"/>
  <c r="G24" i="2" s="1"/>
  <c r="E23" i="2"/>
  <c r="E24" i="2" s="1"/>
  <c r="F23" i="2"/>
  <c r="F24" i="2" s="1"/>
  <c r="AS28" i="4"/>
  <c r="AE28" i="3"/>
  <c r="AB27" i="4"/>
  <c r="AC27" i="4" s="1"/>
  <c r="S13" i="4"/>
  <c r="AB14" i="4"/>
  <c r="AB13" i="4" s="1"/>
  <c r="O6" i="4"/>
  <c r="O28" i="4" s="1"/>
  <c r="AA7" i="4"/>
  <c r="Q7" i="4"/>
  <c r="Q6" i="4" s="1"/>
  <c r="AC22" i="4"/>
  <c r="V6" i="4"/>
  <c r="V28" i="4" s="1"/>
  <c r="AY23" i="3"/>
  <c r="AF23" i="3"/>
  <c r="Q27" i="4"/>
  <c r="Q23" i="4" s="1"/>
  <c r="Y6" i="4"/>
  <c r="Y28" i="4" s="1"/>
  <c r="AD28" i="3"/>
  <c r="H18" i="2"/>
  <c r="H24" i="2" s="1"/>
  <c r="H12" i="2"/>
  <c r="W11" i="4"/>
  <c r="M28" i="3"/>
  <c r="N6" i="3"/>
  <c r="AZ22" i="3"/>
  <c r="AY22" i="3"/>
  <c r="AX22" i="3"/>
  <c r="AX13" i="3" s="1"/>
  <c r="P22" i="3"/>
  <c r="AT22" i="3"/>
  <c r="AV22" i="3"/>
  <c r="AU22" i="3"/>
  <c r="Q18" i="4"/>
  <c r="AA18" i="4"/>
  <c r="AC18" i="4" s="1"/>
  <c r="AO6" i="4"/>
  <c r="AO28" i="4" s="1"/>
  <c r="AN13" i="3"/>
  <c r="AN28" i="3" s="1"/>
  <c r="Z12" i="4"/>
  <c r="AF6" i="3"/>
  <c r="AZ6" i="4"/>
  <c r="AZ28" i="4" s="1"/>
  <c r="BA6" i="4"/>
  <c r="BA28" i="4" s="1"/>
  <c r="K28" i="4"/>
  <c r="L28" i="4" s="1"/>
  <c r="L7" i="5" l="1"/>
  <c r="AZ28" i="3"/>
  <c r="N7" i="5"/>
  <c r="D7" i="5"/>
  <c r="D8" i="5" s="1"/>
  <c r="B8" i="5"/>
  <c r="T28" i="4"/>
  <c r="AY6" i="3"/>
  <c r="AY28" i="3" s="1"/>
  <c r="AB23" i="4"/>
  <c r="AC25" i="4"/>
  <c r="AC23" i="4" s="1"/>
  <c r="AQ6" i="3"/>
  <c r="AQ28" i="3" s="1"/>
  <c r="Q28" i="4"/>
  <c r="AC7" i="4"/>
  <c r="AA6" i="4"/>
  <c r="AC12" i="4"/>
  <c r="AR6" i="3"/>
  <c r="AR28" i="3" s="1"/>
  <c r="T13" i="4"/>
  <c r="AZ6" i="3"/>
  <c r="AC11" i="4"/>
  <c r="AW6" i="3"/>
  <c r="AW28" i="3" s="1"/>
  <c r="AS6" i="3"/>
  <c r="AS28" i="3" s="1"/>
  <c r="W28" i="4"/>
  <c r="N28" i="3"/>
  <c r="M32" i="3"/>
  <c r="AB6" i="4"/>
  <c r="AB28" i="4" s="1"/>
  <c r="AP28" i="3"/>
  <c r="AT28" i="3"/>
  <c r="AX6" i="3"/>
  <c r="AX28" i="3" s="1"/>
  <c r="AZ13" i="3"/>
  <c r="AA13" i="4"/>
  <c r="AC14" i="4"/>
  <c r="AC13" i="4" s="1"/>
  <c r="AV28" i="3"/>
  <c r="P28" i="4"/>
  <c r="AF28" i="3"/>
  <c r="AU28" i="3"/>
  <c r="Q13" i="4"/>
  <c r="L8" i="5" l="1"/>
  <c r="O7" i="5"/>
  <c r="O8" i="5" s="1"/>
  <c r="M7" i="5"/>
  <c r="M8" i="5" s="1"/>
  <c r="P7" i="5"/>
  <c r="P8" i="5" s="1"/>
  <c r="N8" i="5"/>
  <c r="AA28" i="4"/>
  <c r="AC6" i="4"/>
  <c r="AC28" i="4" s="1"/>
</calcChain>
</file>

<file path=xl/sharedStrings.xml><?xml version="1.0" encoding="utf-8"?>
<sst xmlns="http://schemas.openxmlformats.org/spreadsheetml/2006/main" count="395" uniqueCount="196">
  <si>
    <t>IPA III 2024-2027 SECTOR OPERATIONAL PROGRAMME FICHE</t>
  </si>
  <si>
    <t>IPA III SECTOR OPERATIONAL PROGRAMME (SOP) 2024-2027 “EU for Jobs and Opportunities”</t>
  </si>
  <si>
    <t>Window 4 Competitiveness and Inclusive Growth
Thematic priorities 1: Education, employment, social protection and inclusion policies, and health</t>
  </si>
  <si>
    <t>Priority Axis 
Area of Support</t>
  </si>
  <si>
    <t>Indicative Projects' Contract Planned</t>
  </si>
  <si>
    <t xml:space="preserve">Indicative Budget in EUR </t>
  </si>
  <si>
    <t>EU/ IPA Contribution by years in EUR</t>
  </si>
  <si>
    <t>Type of Contract</t>
  </si>
  <si>
    <t>Programmed Amount per Contract in EUR</t>
  </si>
  <si>
    <t>Total Budget in EUR</t>
  </si>
  <si>
    <t>EU/ IPA Contribution in EUR</t>
  </si>
  <si>
    <t>National Cofinancing or Third Party Contribution in EUR</t>
  </si>
  <si>
    <t>Area of support 1 “Implementation of Reinforced Youth Guarantee”</t>
  </si>
  <si>
    <t>Direct Award Contract to ESA</t>
  </si>
  <si>
    <t>Service Contract + Suppy Contract</t>
  </si>
  <si>
    <t>Area of support 2 “Boosting social and micro-enterprises development and (self)employment among vulnerable groups”</t>
  </si>
  <si>
    <t>Service Contract</t>
  </si>
  <si>
    <t>Grant Scheme</t>
  </si>
  <si>
    <t>Area of support 3 “Support for high-quality, affordable and accessible care services”</t>
  </si>
  <si>
    <t>Works Contract</t>
  </si>
  <si>
    <t>Supervision Service Contract</t>
  </si>
  <si>
    <t>Area of support 4 “Enhancing Roma Integration”</t>
  </si>
  <si>
    <t xml:space="preserve">Area of support 5 SOP Technical Assistance </t>
  </si>
  <si>
    <t>Service Contract + Suppy Contract + Direct Grant to IPA OS</t>
  </si>
  <si>
    <t>TOTAL in EUR:</t>
  </si>
  <si>
    <t xml:space="preserve">
Area of Support</t>
  </si>
  <si>
    <t xml:space="preserve">Area of support 1 </t>
  </si>
  <si>
    <t xml:space="preserve">Area of support 2 </t>
  </si>
  <si>
    <t xml:space="preserve">Area of support 3 </t>
  </si>
  <si>
    <t xml:space="preserve">Area of support 4 </t>
  </si>
  <si>
    <t xml:space="preserve">Area of support 5 </t>
  </si>
  <si>
    <t>Area of support 6</t>
  </si>
  <si>
    <t>Total in EUR</t>
  </si>
  <si>
    <t>IPA III 2024-2027 SOP JOBS AND OPPORTUNITIES</t>
  </si>
  <si>
    <t>Area of Support</t>
  </si>
  <si>
    <t>Ouput</t>
  </si>
  <si>
    <t>Activity</t>
  </si>
  <si>
    <t>Proc #</t>
  </si>
  <si>
    <t>Indicative Contract Planned</t>
  </si>
  <si>
    <t>Indicative TOTAL disbursment 
 (provided FA is signed by 12/2025)</t>
  </si>
  <si>
    <r>
      <t xml:space="preserve">Indicative </t>
    </r>
    <r>
      <rPr>
        <b/>
        <sz val="20"/>
        <color rgb="FFFF0000"/>
        <rFont val="Arial"/>
        <family val="2"/>
      </rPr>
      <t xml:space="preserve">TOTAL </t>
    </r>
    <r>
      <rPr>
        <b/>
        <sz val="20"/>
        <color rgb="FFFFFFFF"/>
        <rFont val="Arial"/>
        <family val="2"/>
      </rPr>
      <t>commitments</t>
    </r>
  </si>
  <si>
    <t xml:space="preserve">Indicative EU FUNDS disbursment </t>
  </si>
  <si>
    <r>
      <t xml:space="preserve">Indicative </t>
    </r>
    <r>
      <rPr>
        <b/>
        <sz val="20"/>
        <color rgb="FFFF0000"/>
        <rFont val="Arial"/>
        <family val="2"/>
      </rPr>
      <t>EU FUNDS commitments</t>
    </r>
    <r>
      <rPr>
        <b/>
        <sz val="20"/>
        <color rgb="FF000000"/>
        <rFont val="Arial"/>
        <family val="2"/>
      </rPr>
      <t xml:space="preserve"> </t>
    </r>
  </si>
  <si>
    <t xml:space="preserve">Indicative NATIONAL FUNDS disbursment </t>
  </si>
  <si>
    <r>
      <t xml:space="preserve">Indicative </t>
    </r>
    <r>
      <rPr>
        <b/>
        <sz val="20"/>
        <color rgb="FFFF0000"/>
        <rFont val="Arial"/>
        <family val="2"/>
      </rPr>
      <t>NATIONAL FUNDS commitments</t>
    </r>
    <r>
      <rPr>
        <b/>
        <sz val="20"/>
        <color rgb="FF000000"/>
        <rFont val="Arial"/>
        <family val="2"/>
      </rPr>
      <t xml:space="preserve"> </t>
    </r>
  </si>
  <si>
    <t>SOP %</t>
  </si>
  <si>
    <t>Timing for CFCD procurement process</t>
  </si>
  <si>
    <t>Contracted (provided FA is signed by 12/2025)</t>
  </si>
  <si>
    <t>Duration of Contract</t>
  </si>
  <si>
    <t>Procurement methodology &amp; conditions</t>
  </si>
  <si>
    <t xml:space="preserve">Total Budget </t>
  </si>
  <si>
    <t xml:space="preserve">EU/ IPA Contribution </t>
  </si>
  <si>
    <t xml:space="preserve">National Cofinancing or Third Party Contribution </t>
  </si>
  <si>
    <t>%</t>
  </si>
  <si>
    <t>Launch of the procedure</t>
  </si>
  <si>
    <t>EU %</t>
  </si>
  <si>
    <t>National %</t>
  </si>
  <si>
    <t xml:space="preserve">Area of support 1: Employment and Labour Mobility
</t>
  </si>
  <si>
    <t>1.1 Enhanced employment of young people (15 -29) through the implementation of reinforced YG and improved capacities of ESA
&amp;
1.2. Improved employment of vulnerable groups in the labour market through ALMPMSs</t>
  </si>
  <si>
    <t>Implementation of outreach activities for young people offering a line of support for labour market inclusion
Implementation of active labour market measures for young people in the labour market
Strengthening Youth Guarantee Monitoring System &amp; active labour market measures and services for vulnerable groups in the labour market
Improving policies and capacity building in ESA to implement YG through an upgrade of ESA’s IT system (Lot 1) and Establishment of tracer system for YG (Lot 2)
Improving policies and capacity building in ESA to implement YG and ALMSPs</t>
  </si>
  <si>
    <t>2 Direct Award Contracts to ESA</t>
  </si>
  <si>
    <t>First:
6 months
Second: 
6 months</t>
  </si>
  <si>
    <t>First:
Q4 2024
Second:
Q4 2026</t>
  </si>
  <si>
    <t>First: 
Q2 2025
Second: 
Q2 2027</t>
  </si>
  <si>
    <t>First:
4 years
Second:
3 years</t>
  </si>
  <si>
    <t>Current YG ends 03/2024, and to enusre there are no interruptions / gaps in YG implementation the docs should be prepared in 2024.
Methodology: 
Two (2) Direct Award Contracts foreseen to be implemented.
Cumulative disbursement for borh shall be:
2028 year 20% of the total budget (prefinancing 100% of the forecast for the first year)
2029 year 17.5%.
2030 year 17,5%.
2031 year 17,5%
2032 year 17,5%
2033 year 10% (final balance)</t>
  </si>
  <si>
    <t>1.3 Boosted development of social and micro-enterprises for (self)employment among vulnerable groups</t>
  </si>
  <si>
    <t>Supporting implementation of Law on SE with support GS implementation</t>
  </si>
  <si>
    <t>12 months</t>
  </si>
  <si>
    <t>Q4 2025</t>
  </si>
  <si>
    <t>Q4 2026</t>
  </si>
  <si>
    <t>3 years</t>
  </si>
  <si>
    <r>
      <t xml:space="preserve">The law on SE should be adopted prior to the launch of the service
</t>
    </r>
    <r>
      <rPr>
        <b/>
        <sz val="10"/>
        <rFont val="Arial"/>
        <family val="2"/>
      </rPr>
      <t>Methodology</t>
    </r>
    <r>
      <rPr>
        <sz val="10"/>
        <rFont val="Arial"/>
        <family val="2"/>
      </rPr>
      <t>:
2027 20% of total budget (prefinancing payment)
2028-2030 70% equaly distibuted 20% per year for payment of total budget 
2031 10% of total budget (final balance)</t>
    </r>
  </si>
  <si>
    <t>Supporting the development of new and existing social enterprises in North Macedonia - Phase 1</t>
  </si>
  <si>
    <t>1st =12 months</t>
  </si>
  <si>
    <t>1st = Q4 2025</t>
  </si>
  <si>
    <t>1st = Q4 2026</t>
  </si>
  <si>
    <t>2 years</t>
  </si>
  <si>
    <r>
      <t xml:space="preserve">Two rounds will be launched. The 2nd round  be revised considering lessons learnt from the 1st round
</t>
    </r>
    <r>
      <rPr>
        <b/>
        <sz val="10"/>
        <rFont val="Arial"/>
        <family val="2"/>
      </rPr>
      <t>Methodology:</t>
    </r>
    <r>
      <rPr>
        <sz val="10"/>
        <rFont val="Arial"/>
        <family val="2"/>
      </rPr>
      <t xml:space="preserve">
GS #1 1.5 mil EUR
2027 50% of total budget (prefinancing payment)
2028 50% (final balance) 
</t>
    </r>
  </si>
  <si>
    <t>Supporting the development of new and existing social enterprises in North Macedonia - Phase 2</t>
  </si>
  <si>
    <t>2nd =12 months</t>
  </si>
  <si>
    <t>2nd = Q4 2028</t>
  </si>
  <si>
    <t>2nd = Q4 2029</t>
  </si>
  <si>
    <r>
      <t xml:space="preserve">Two rounds will be launched. The 2nd round  be revised considering lessons learnt from the 1st round
</t>
    </r>
    <r>
      <rPr>
        <b/>
        <sz val="10"/>
        <rFont val="Arial"/>
        <family val="2"/>
      </rPr>
      <t>Methodology:</t>
    </r>
    <r>
      <rPr>
        <sz val="10"/>
        <rFont val="Arial"/>
        <family val="2"/>
      </rPr>
      <t xml:space="preserve">
GS #2  2.25 mil EUR
2030-2032 80% of total budget (prefinancing payment)
2033 10% (final balance) </t>
    </r>
  </si>
  <si>
    <t>1.4 Promoted Social Dialogue and Local Employment Partnerships</t>
  </si>
  <si>
    <t>Supporting the development of tri- and bi-partite social dialogue</t>
  </si>
  <si>
    <t>Direct Award to IO</t>
  </si>
  <si>
    <t>6 months</t>
  </si>
  <si>
    <t>Q3 2024</t>
  </si>
  <si>
    <t>Q1 2025</t>
  </si>
  <si>
    <r>
      <rPr>
        <b/>
        <sz val="10"/>
        <rFont val="Arial"/>
        <family val="2"/>
      </rPr>
      <t>Methodology:</t>
    </r>
    <r>
      <rPr>
        <sz val="10"/>
        <rFont val="Arial"/>
        <family val="2"/>
      </rPr>
      <t xml:space="preserve">
GS 
2027 20% of total budget (prefinancing payment)
2028-2029 70% interim payment
2030 10% (final balance) </t>
    </r>
  </si>
  <si>
    <t>Supporting Local Economic and Social Councils for Implementation of Local Employment Partnerships</t>
  </si>
  <si>
    <t xml:space="preserve">Grant scheme </t>
  </si>
  <si>
    <t>9 months</t>
  </si>
  <si>
    <t>Q3 2026</t>
  </si>
  <si>
    <t>1,5 year</t>
  </si>
  <si>
    <r>
      <rPr>
        <b/>
        <sz val="10"/>
        <rFont val="Arial"/>
        <family val="2"/>
      </rPr>
      <t>Methodology:</t>
    </r>
    <r>
      <rPr>
        <sz val="10"/>
        <rFont val="Arial"/>
        <family val="2"/>
      </rPr>
      <t xml:space="preserve">
2027 20% of total budget
2028-2029 interim payments
2027 10% final balance</t>
    </r>
  </si>
  <si>
    <t>Area of support 2: Social Inclusion and reduction of poverty</t>
  </si>
  <si>
    <t>2.1. Supported development of high-quality, affordable, and accessible care services</t>
  </si>
  <si>
    <t xml:space="preserve">Transformation of residential institutions into modern community-based services. </t>
  </si>
  <si>
    <t>Works Contract (3 Lots) 
 [docs under AD21 or 22]</t>
  </si>
  <si>
    <t>8 months</t>
  </si>
  <si>
    <t>Q3 2027</t>
  </si>
  <si>
    <t>Q2 2028</t>
  </si>
  <si>
    <t xml:space="preserve">3 years </t>
  </si>
  <si>
    <r>
      <t xml:space="preserve">The docs will be prepared udner EU IF AD 2021 or 2022
</t>
    </r>
    <r>
      <rPr>
        <b/>
        <sz val="10"/>
        <rFont val="Arial"/>
        <family val="2"/>
      </rPr>
      <t>Methodology:</t>
    </r>
    <r>
      <rPr>
        <sz val="10"/>
        <rFont val="Arial"/>
        <family val="2"/>
      </rPr>
      <t xml:space="preserve">
2029 10% of total budget (prefinancing payment 
2030-2032 60% interim payments
2030 20% (final balance) 
consider possible delay in implementation</t>
    </r>
  </si>
  <si>
    <t xml:space="preserve">Supervision Service </t>
  </si>
  <si>
    <t>Q1 2027</t>
  </si>
  <si>
    <t>Q1 2028</t>
  </si>
  <si>
    <r>
      <t xml:space="preserve">The service contract should be launched in parallel with contract # 12
</t>
    </r>
    <r>
      <rPr>
        <b/>
        <sz val="10"/>
        <rFont val="Arial"/>
        <family val="2"/>
      </rPr>
      <t>Methodology:</t>
    </r>
    <r>
      <rPr>
        <sz val="10"/>
        <rFont val="Arial"/>
        <family val="2"/>
      </rPr>
      <t xml:space="preserve">
2029 55% of total budget 
2031 35% interim payments
2033 10% (final balance) </t>
    </r>
  </si>
  <si>
    <t xml:space="preserve">Developing new and enhancing the established social, including child and youth support services at local level, across the country (Municipalities and CSOs). </t>
  </si>
  <si>
    <t>Grant Scheme (LOTS)</t>
  </si>
  <si>
    <t>18 months</t>
  </si>
  <si>
    <t>Q1 2029</t>
  </si>
  <si>
    <r>
      <rPr>
        <b/>
        <sz val="10"/>
        <rFont val="Arial"/>
        <family val="2"/>
      </rPr>
      <t>Methodology:</t>
    </r>
    <r>
      <rPr>
        <sz val="10"/>
        <rFont val="Arial"/>
        <family val="2"/>
      </rPr>
      <t xml:space="preserve">
2031 40% of total budget (prefinancing payment)
2032 30% interim payments
2033 30% (final balance) </t>
    </r>
  </si>
  <si>
    <t xml:space="preserve">Enhancing capacities and improving early childhood and care services. </t>
  </si>
  <si>
    <t>Q4 2027</t>
  </si>
  <si>
    <t xml:space="preserve"> 2 years</t>
  </si>
  <si>
    <r>
      <rPr>
        <b/>
        <sz val="10"/>
        <rFont val="Arial"/>
        <family val="2"/>
      </rPr>
      <t>Methodology:</t>
    </r>
    <r>
      <rPr>
        <sz val="10"/>
        <rFont val="Arial"/>
        <family val="2"/>
      </rPr>
      <t xml:space="preserve">
2030 20% of total budget (prefinancing payment)
2031-2032 70% interim payments
2023 10% of total budget (final balance)
</t>
    </r>
  </si>
  <si>
    <t>Upgrading the IT system early childhood education and care services</t>
  </si>
  <si>
    <t>Service Contract 
and/or
Supply Contract</t>
  </si>
  <si>
    <t>Q2 2029</t>
  </si>
  <si>
    <t xml:space="preserve">Project on reserved list:
Tentative budget amount: 500.000 EUR
(IPA contribution of 425.000 EUR + National contribution of 75.000)EUR)
Methodology:
2029 30% of total budget (prefinancing payment)
2030 60% of total budget (prefinancing payment)
2031-100% (final balance) </t>
  </si>
  <si>
    <t>Enhancing the IT cpacities of social security scheme</t>
  </si>
  <si>
    <t xml:space="preserve">Project on reserved list:
Tentative budget amount: 1.000.000 EUR
(IPA contribution of 850.000 EUR + National contribution of 150.000)EUR)
Methodology:
2028 30% of total budget (prefinancing payment)
2029 60% of total budget (prefinancing payment)
2030-100% (final balance) </t>
  </si>
  <si>
    <t>Further modernization of social protection institutions</t>
  </si>
  <si>
    <t xml:space="preserve">6 months </t>
  </si>
  <si>
    <t>2026-2030</t>
  </si>
  <si>
    <t xml:space="preserve">Project(s) on reserved list:
Tentative budget amount: 2.000.000 EUR
(IPA contribution of 1.700.000 EUR + National contribution of 300.000)EUR)
Methodology:
2026 30% of total budget (prefinancing payment)
2027-2029 - 60% of total budget (prefinancing payment)
2031-10% (final balance) </t>
  </si>
  <si>
    <t>2.2. Reduced poverty and improved social inclusion of Roma people</t>
  </si>
  <si>
    <t xml:space="preserve">Investments in social housing of Roma and other disadvantaged groups and settlements urbanisation </t>
  </si>
  <si>
    <t xml:space="preserve">Works Contract (3 Lots) 
[docs under AD24] </t>
  </si>
  <si>
    <t>Q3 2028</t>
  </si>
  <si>
    <t>2 years +  (1 year) DLP</t>
  </si>
  <si>
    <r>
      <t xml:space="preserve">The docs will be prepared udner AD 2024
</t>
    </r>
    <r>
      <rPr>
        <b/>
        <sz val="10"/>
        <rFont val="Arial"/>
        <family val="2"/>
      </rPr>
      <t>Methodology:</t>
    </r>
    <r>
      <rPr>
        <sz val="10"/>
        <rFont val="Arial"/>
        <family val="2"/>
      </rPr>
      <t xml:space="preserve">
2031 30%  (prefinancing payment) + at least 1 payments per 10%
2032 40% 
2033 30% of total budget (final balance) </t>
    </r>
  </si>
  <si>
    <t>Supervision Service</t>
  </si>
  <si>
    <r>
      <rPr>
        <b/>
        <sz val="10"/>
        <rFont val="Arial"/>
        <family val="2"/>
      </rPr>
      <t>Methodology:</t>
    </r>
    <r>
      <rPr>
        <sz val="10"/>
        <rFont val="Arial"/>
        <family val="2"/>
      </rPr>
      <t xml:space="preserve">
2031 55% of total budget (prefinancing payment)
2032 35% interim payments
2031 10% of total budget (final balance)</t>
    </r>
  </si>
  <si>
    <t>Area of support 3: Other Support</t>
  </si>
  <si>
    <t xml:space="preserve">3.1 Capacities of SOP “Jobs and Opportunities” authorities to effectively manage IPA III funds following EU requirements and best practices are enhanced.  </t>
  </si>
  <si>
    <t>Technical Assistance for implementing and managing SOP “Jobs and Opportunities”.</t>
  </si>
  <si>
    <t>Q3 2025</t>
  </si>
  <si>
    <t xml:space="preserve">Methodology:
2026 2% of total budget (prefinancing payment)
2027-2028 35% interim payments
2029 10% of total budget </t>
  </si>
  <si>
    <t>Rehabilitation of the premises</t>
  </si>
  <si>
    <t>Works</t>
  </si>
  <si>
    <t>Q1 2026</t>
  </si>
  <si>
    <t>1 year (+1 warranty)</t>
  </si>
  <si>
    <t xml:space="preserve">Methodology:
2027 80%
2028 20% </t>
  </si>
  <si>
    <t>Supplies for the SOP structure and upgrade of MIS modules</t>
  </si>
  <si>
    <t>Supplies</t>
  </si>
  <si>
    <t xml:space="preserve"> 6 months</t>
  </si>
  <si>
    <t xml:space="preserve">Methodology:
2027 40%
2028 60% </t>
  </si>
  <si>
    <t>Retantion policy</t>
  </si>
  <si>
    <t>Direct Grant to IPA OS for retantion</t>
  </si>
  <si>
    <t>Q2 2024</t>
  </si>
  <si>
    <t>5 years</t>
  </si>
  <si>
    <t>Methodology TBD</t>
  </si>
  <si>
    <t>IPA III 2024-2027 SECTOR OPERATIONAL PROGRAMME JOBS AND OPPORTUNITIES</t>
  </si>
  <si>
    <t>Interventions / Projects</t>
  </si>
  <si>
    <t>Procurement sequencing #</t>
  </si>
  <si>
    <t xml:space="preserve">Total Indicative Budget in EUR </t>
  </si>
  <si>
    <t>Total Indicative Commitments in EUR per programming year
IPA co-financing + National co-financing = Total Budget</t>
  </si>
  <si>
    <t>Indicative total amounts for disbursements by years in EUR 
(without reserve list of projects)
(if FA is signed by 12/2024)</t>
  </si>
  <si>
    <t>Indicative total amounts for disbursements by years in EUR 
(IPA contribution)
(without reserve list of projects)
(if FA is signed by 12/2024)</t>
  </si>
  <si>
    <t>Indicative total amounts for disbursements by years in EUR 
(national contribution)
(without reserve list of projects)
(if FA is signed by 12/2024)</t>
  </si>
  <si>
    <t>Indicative total amounts for disbursements by years in EUR
(reserve list of projects)
(if FA is signed by 12/2024)</t>
  </si>
  <si>
    <t>2024-2027</t>
  </si>
  <si>
    <t>% of EU/ IPA contribution</t>
  </si>
  <si>
    <t>% National Cofinancing or Third Party Contribution</t>
  </si>
  <si>
    <t>EU/ IPA Contribution in EUR24</t>
  </si>
  <si>
    <t xml:space="preserve">1.1 Enhanced employment of young people (15 -29) through the implementation of reinforced YG and improved capacities of ESA
</t>
  </si>
  <si>
    <t>Current YG ends 03/2024, and to enusre there are no interruptions / gaps in YG implementation the docs should be prepared in 2024.
Methodology: 
Two (2) Direct Award Contracts foreseen to be implemented.
Cumulative disbursement for borh shall be:
2028 year 20% of the total budget (prefinancing 100% of the forecast for the first year)
2029 year 17,5%.
2030 year 17,5%.
2031 year 17,5%
2032 year 17,5%
2033 year 10% (final balace)</t>
  </si>
  <si>
    <t>1st =18 months</t>
  </si>
  <si>
    <r>
      <t xml:space="preserve">Two rounds will be launched. The 2nd round  be revised considering lessons learnt from the 1st round
</t>
    </r>
    <r>
      <rPr>
        <b/>
        <sz val="10"/>
        <rFont val="Arial"/>
        <family val="2"/>
      </rPr>
      <t>Methodology:</t>
    </r>
    <r>
      <rPr>
        <sz val="10"/>
        <rFont val="Arial"/>
        <family val="2"/>
      </rPr>
      <t xml:space="preserve">
GS #1 1.5 mil EUR
2027 50% of total budget (prefinancing payment)
2028 50% (final balance) </t>
    </r>
  </si>
  <si>
    <t>Enhancing the IT cpacityies of social security scheme</t>
  </si>
  <si>
    <r>
      <rPr>
        <b/>
        <sz val="10"/>
        <rFont val="Arial"/>
        <family val="2"/>
      </rPr>
      <t>Project on reserved list:</t>
    </r>
    <r>
      <rPr>
        <sz val="10"/>
        <rFont val="Arial"/>
        <family val="2"/>
      </rPr>
      <t xml:space="preserve">
Tentative budget amount: 1.000.000 EUR
(IPA contribution of 850.000 EUR + National contribution of 150.000)EUR)
</t>
    </r>
    <r>
      <rPr>
        <b/>
        <sz val="10"/>
        <rFont val="Arial"/>
        <family val="2"/>
      </rPr>
      <t xml:space="preserve">
Methodology:
</t>
    </r>
    <r>
      <rPr>
        <sz val="10"/>
        <rFont val="Arial"/>
        <family val="2"/>
      </rPr>
      <t xml:space="preserve">2028 30% of total budget (prefinancing payment)
2029 60% of total budget (prefinancing payment)
2030-10% (final balance) </t>
    </r>
  </si>
  <si>
    <r>
      <rPr>
        <b/>
        <sz val="10"/>
        <rFont val="Arial"/>
        <family val="2"/>
      </rPr>
      <t>Project(s) on reserved list:</t>
    </r>
    <r>
      <rPr>
        <sz val="10"/>
        <rFont val="Arial"/>
        <family val="2"/>
      </rPr>
      <t xml:space="preserve">
Tentative budget amount: 2.000.000 EUR
(IPA contribution of 1.700.000 EUR + National contribution of 300.000)EUR)
</t>
    </r>
    <r>
      <rPr>
        <b/>
        <sz val="10"/>
        <rFont val="Arial"/>
        <family val="2"/>
      </rPr>
      <t>Methodology:</t>
    </r>
    <r>
      <rPr>
        <sz val="10"/>
        <rFont val="Arial"/>
        <family val="2"/>
      </rPr>
      <t xml:space="preserve">
2026 30% of total budget (prefinancing payment)
2027-2029 - 60% of total budget (prefinancing payment)
2031-10% (final balance) </t>
    </r>
  </si>
  <si>
    <t>Q2 2027</t>
  </si>
  <si>
    <t xml:space="preserve"> 3 years</t>
  </si>
  <si>
    <r>
      <rPr>
        <b/>
        <sz val="10"/>
        <rFont val="Arial"/>
        <family val="2"/>
      </rPr>
      <t>Project on reserved list:</t>
    </r>
    <r>
      <rPr>
        <sz val="10"/>
        <rFont val="Arial"/>
        <family val="2"/>
      </rPr>
      <t xml:space="preserve">
Tentative budget amount: 500.000 EUR
(IPA contribution of 425.000 EUR + National contribution of 75.000)EUR)
</t>
    </r>
    <r>
      <rPr>
        <b/>
        <sz val="10"/>
        <rFont val="Arial"/>
        <family val="2"/>
      </rPr>
      <t>Methodology:</t>
    </r>
    <r>
      <rPr>
        <sz val="10"/>
        <rFont val="Arial"/>
        <family val="2"/>
      </rPr>
      <t xml:space="preserve">
2029 30% of total budget (prefinancing payment)
2030 60% of total budget (prefinancing payment)
2031-10% (final balance) </t>
    </r>
  </si>
  <si>
    <t xml:space="preserve">Investments in social housing of Roma and other disadvantaged groups and settlements urbanisation. </t>
  </si>
  <si>
    <r>
      <t xml:space="preserve">3 years </t>
    </r>
    <r>
      <rPr>
        <b/>
        <sz val="10"/>
        <rFont val="Arial"/>
        <family val="2"/>
      </rPr>
      <t>(1 year DLP)</t>
    </r>
  </si>
  <si>
    <t>Service Contract *</t>
  </si>
  <si>
    <t>Direct Grant to IPA OS</t>
  </si>
  <si>
    <t>Year 2024</t>
  </si>
  <si>
    <t>Year 2025</t>
  </si>
  <si>
    <t>Year 2026</t>
  </si>
  <si>
    <t>Year 2027</t>
  </si>
  <si>
    <t>Total</t>
  </si>
  <si>
    <t>EU contribution</t>
  </si>
  <si>
    <t>IPA III beneficiary co-financing</t>
  </si>
  <si>
    <t>Total expenditure</t>
  </si>
  <si>
    <t xml:space="preserve">Total </t>
  </si>
  <si>
    <t>Area of Support 1</t>
  </si>
  <si>
    <t>Area of Support 2</t>
  </si>
  <si>
    <t>Area of Support 3</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</si>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</sst>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2" formatCode="#,##0.00%"/>
  </numFmts>
  <fonts count="38" x14ac:knownFonts="1">
    <font>
      <sz val="10"/>
      <color rgb="FF000000"/>
      <name val="Arial"/>
      <family val="2"/>
    </font>
    <font>
      <b/>
      <sz val="9"/>
      <color rgb="FF000000"/>
      <name val="Arial"/>
      <family val="2"/>
    </font>
    <font>
      <b/>
      <i/>
      <sz val="9"/>
      <color rgb="FF000000"/>
      <name val="Arial"/>
      <family val="2"/>
    </font>
    <font>
      <i/>
      <sz val="10"/>
      <color rgb="FF000000"/>
      <name val="Arial"/>
      <family val="2"/>
    </font>
    <font>
      <sz val="9"/>
      <color rgb="FF000000"/>
      <name val="Arial"/>
      <family val="2"/>
    </font>
    <font>
      <b/>
      <sz val="10"/>
      <color rgb="FF000000"/>
      <name val="Arial"/>
      <family val="2"/>
    </font>
    <font>
      <sz val="10"/>
      <color rgb="FFFFFFFF"/>
      <name val="Arial"/>
      <family val="2"/>
    </font>
    <font>
      <b/>
      <i/>
      <sz val="10"/>
      <color rgb="FF000000"/>
      <name val="Arial"/>
      <family val="2"/>
    </font>
    <font>
      <b/>
      <u/>
      <sz val="10"/>
      <color rgb="FF000000"/>
      <name val="Arial"/>
      <family val="2"/>
    </font>
    <font>
      <b/>
      <sz val="10"/>
      <color rgb="FFFFFFFF"/>
      <name val="Arial"/>
      <family val="2"/>
    </font>
    <font>
      <b/>
      <i/>
      <sz val="10"/>
      <color rgb="FFFFFFFF"/>
      <name val="Arial"/>
      <family val="2"/>
    </font>
    <font>
      <b/>
      <sz val="10"/>
      <color rgb="FFFF0000"/>
      <name val="Arial"/>
      <family val="2"/>
    </font>
    <font>
      <b/>
      <sz val="11"/>
      <color rgb="FF000000"/>
      <name val="Arial"/>
      <family val="2"/>
    </font>
    <font>
      <b/>
      <sz val="14"/>
      <color rgb="FF000000"/>
      <name val="Arial"/>
      <family val="2"/>
    </font>
    <font>
      <b/>
      <sz val="14"/>
      <color rgb="FFFFFFFF"/>
      <name val="Arial"/>
      <family val="2"/>
    </font>
    <font>
      <sz val="10"/>
      <color rgb="FFFF0000"/>
      <name val="Arial"/>
      <family val="2"/>
    </font>
    <font>
      <b/>
      <u/>
      <sz val="14"/>
      <color rgb="FF000000"/>
      <name val="Arial"/>
      <family val="2"/>
    </font>
    <font>
      <sz val="14"/>
      <color rgb="FFFF0000"/>
      <name val="Arial"/>
      <family val="2"/>
    </font>
    <font>
      <sz val="14"/>
      <color rgb="FF000000"/>
      <name val="Arial"/>
      <family val="2"/>
    </font>
    <font>
      <b/>
      <u/>
      <sz val="14"/>
      <color rgb="FFFF0000"/>
      <name val="Arial"/>
      <family val="2"/>
    </font>
    <font>
      <b/>
      <sz val="20"/>
      <color rgb="FFFFFFFF"/>
      <name val="Arial"/>
      <family val="2"/>
    </font>
    <font>
      <sz val="20"/>
      <color rgb="FFFFFFFF"/>
      <name val="Arial"/>
      <family val="2"/>
    </font>
    <font>
      <b/>
      <sz val="20"/>
      <color rgb="FFFF0000"/>
      <name val="Arial"/>
      <family val="2"/>
    </font>
    <font>
      <b/>
      <sz val="20"/>
      <color rgb="FF000000"/>
      <name val="Arial"/>
      <family val="2"/>
    </font>
    <font>
      <sz val="20"/>
      <color rgb="FF000000"/>
      <name val="Arial"/>
      <family val="2"/>
    </font>
    <font>
      <b/>
      <sz val="16"/>
      <color rgb="FF000000"/>
      <name val="Arial"/>
      <family val="2"/>
    </font>
    <font>
      <b/>
      <sz val="10"/>
      <color rgb="FF1F497D"/>
      <name val="Arial"/>
      <family val="2"/>
    </font>
    <font>
      <b/>
      <sz val="10"/>
      <color rgb="FF00007F"/>
      <name val="Arial"/>
      <family val="2"/>
    </font>
    <font>
      <sz val="10"/>
      <color rgb="FF1F497D"/>
      <name val="Arial"/>
      <family val="2"/>
    </font>
    <font>
      <sz val="10"/>
      <color rgb="FF00007F"/>
      <name val="Arial"/>
      <family val="2"/>
    </font>
    <font>
      <sz val="10"/>
      <color rgb="FF005700"/>
      <name val="Arial"/>
      <family val="2"/>
    </font>
    <font>
      <b/>
      <u/>
      <sz val="10"/>
      <color rgb="FFFFFFFF"/>
      <name val="Arial"/>
      <family val="2"/>
    </font>
    <font>
      <b/>
      <sz val="22"/>
      <color rgb="FFFFFFFF"/>
      <name val="Arial"/>
      <family val="2"/>
    </font>
    <font>
      <sz val="10"/>
      <color rgb="FF000000"/>
      <name val="Arial"/>
      <family val="2"/>
    </font>
    <font>
      <b/>
      <sz val="10"/>
      <name val="Arial"/>
      <family val="2"/>
    </font>
    <font>
      <sz val="10"/>
      <name val="Arial"/>
      <family val="2"/>
    </font>
    <font>
      <b/>
      <sz val="10"/>
      <color rgb="FF000000"/>
      <name val="Times New Roman"/>
      <family val="1"/>
    </font>
    <font>
      <sz val="10"/>
      <color rgb="FF000000"/>
      <name val="Times New Roman"/>
      <family val="1"/>
    </font>
  </fonts>
  <fills count="181">
    <fill>
      <patternFill patternType="none"/>
    </fill>
    <fill>
      <patternFill patternType="gray125"/>
    </fill>
    <fill>
      <patternFill patternType="solid">
        <fgColor rgb="FFCCFFFF"/>
        <bgColor rgb="FFFFFFFF"/>
      </patternFill>
    </fill>
    <fill>
      <patternFill patternType="solid">
        <fgColor rgb="FF00FFFF"/>
        <bgColor rgb="FFFFFFFF"/>
      </patternFill>
    </fill>
    <fill>
      <patternFill patternType="solid">
        <fgColor rgb="FFFFFFFF"/>
        <bgColor rgb="FFFFFFFF"/>
      </patternFill>
    </fill>
    <fill>
      <patternFill patternType="solid">
        <fgColor rgb="FFCC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D8D8D8"/>
        <bgColor rgb="FFFFFFFF"/>
      </patternFill>
    </fill>
    <fill>
      <patternFill patternType="solid">
        <fgColor rgb="FFD8D8D8"/>
        <bgColor rgb="FFFFFFFF"/>
      </patternFill>
    </fill>
    <fill>
      <patternFill patternType="solid">
        <fgColor rgb="FFD8D8D8"/>
        <bgColor rgb="FFFFFFFF"/>
      </patternFill>
    </fill>
    <fill>
      <patternFill patternType="solid">
        <fgColor rgb="FFD8D8D8"/>
        <bgColor rgb="FFFFFFFF"/>
      </patternFill>
    </fill>
    <fill>
      <patternFill patternType="solid">
        <fgColor rgb="FFD8D8D8"/>
        <bgColor rgb="FFFFFFFF"/>
      </patternFill>
    </fill>
    <fill>
      <patternFill patternType="solid">
        <fgColor rgb="FFD8D8D8"/>
        <bgColor rgb="FFFFFFFF"/>
      </patternFill>
    </fill>
    <fill>
      <patternFill patternType="solid">
        <fgColor rgb="FFD7E3BB"/>
        <bgColor rgb="FFFFFFFF"/>
      </patternFill>
    </fill>
    <fill>
      <patternFill patternType="solid">
        <fgColor rgb="FFDCE6F1"/>
        <bgColor rgb="FFFFFFFF"/>
      </patternFill>
    </fill>
    <fill>
      <patternFill patternType="solid">
        <fgColor rgb="FFD8D8D8"/>
        <bgColor rgb="FFFFFFFF"/>
      </patternFill>
    </fill>
    <fill>
      <patternFill patternType="solid">
        <fgColor rgb="FFD8D8D8"/>
        <bgColor rgb="FFFFFFFF"/>
      </patternFill>
    </fill>
    <fill>
      <patternFill patternType="solid">
        <fgColor rgb="FFEEECE1"/>
        <bgColor rgb="FFFFFFFF"/>
      </patternFill>
    </fill>
    <fill>
      <patternFill patternType="solid">
        <fgColor rgb="FFEEECE1"/>
        <bgColor rgb="FFFFFFFF"/>
      </patternFill>
    </fill>
    <fill>
      <patternFill patternType="solid">
        <fgColor rgb="FFFFFF00"/>
        <bgColor rgb="FFFFFFFF"/>
      </patternFill>
    </fill>
    <fill>
      <patternFill patternType="solid">
        <fgColor rgb="FFFFFF00"/>
        <bgColor rgb="FFFFFFFF"/>
      </patternFill>
    </fill>
    <fill>
      <patternFill patternType="solid">
        <fgColor rgb="FFFFFF00"/>
        <bgColor rgb="FFFFFFFF"/>
      </patternFill>
    </fill>
    <fill>
      <patternFill patternType="solid">
        <fgColor rgb="FFFFFF00"/>
        <bgColor rgb="FFFFFFFF"/>
      </patternFill>
    </fill>
    <fill>
      <patternFill patternType="solid">
        <fgColor rgb="FFFFFF00"/>
        <bgColor rgb="FFFFFFFF"/>
      </patternFill>
    </fill>
    <fill>
      <patternFill patternType="solid">
        <fgColor rgb="FFFFFFFF"/>
        <bgColor rgb="FFFFFFFF"/>
      </patternFill>
    </fill>
    <fill>
      <patternFill patternType="solid">
        <fgColor rgb="FFEEECE1"/>
        <bgColor rgb="FFFFFFFF"/>
      </patternFill>
    </fill>
    <fill>
      <patternFill patternType="solid">
        <fgColor rgb="FFEEECE1"/>
        <bgColor rgb="FFFFFFFF"/>
      </patternFill>
    </fill>
    <fill>
      <patternFill patternType="solid">
        <fgColor rgb="FFEEECE1"/>
        <bgColor rgb="FFFFFFFF"/>
      </patternFill>
    </fill>
    <fill>
      <patternFill patternType="solid">
        <fgColor rgb="FFEEECE1"/>
        <bgColor rgb="FFFFFFFF"/>
      </patternFill>
    </fill>
    <fill>
      <patternFill patternType="solid">
        <fgColor rgb="FFEEECE1"/>
        <bgColor rgb="FFFFFFFF"/>
      </patternFill>
    </fill>
    <fill>
      <patternFill patternType="solid">
        <fgColor rgb="FFEEECE1"/>
        <bgColor rgb="FFFFFFFF"/>
      </patternFill>
    </fill>
    <fill>
      <patternFill patternType="solid">
        <fgColor rgb="FFEEECE1"/>
        <bgColor rgb="FFFFFFFF"/>
      </patternFill>
    </fill>
    <fill>
      <patternFill patternType="solid">
        <fgColor rgb="FFEEECE1"/>
        <bgColor rgb="FFFFFFFF"/>
      </patternFill>
    </fill>
    <fill>
      <patternFill patternType="solid">
        <fgColor rgb="FFEEECE1"/>
        <bgColor rgb="FFFFFFFF"/>
      </patternFill>
    </fill>
    <fill>
      <patternFill patternType="solid">
        <fgColor rgb="FFEEECE1"/>
        <bgColor rgb="FFFFFFFF"/>
      </patternFill>
    </fill>
    <fill>
      <patternFill patternType="solid">
        <fgColor rgb="FFFFFF00"/>
        <bgColor rgb="FFFFFFFF"/>
      </patternFill>
    </fill>
    <fill>
      <patternFill patternType="solid">
        <fgColor rgb="FFFFFF00"/>
        <bgColor rgb="FFFFFFFF"/>
      </patternFill>
    </fill>
    <fill>
      <patternFill patternType="solid">
        <fgColor rgb="FFFFFF00"/>
        <bgColor rgb="FFFFFFFF"/>
      </patternFill>
    </fill>
    <fill>
      <patternFill patternType="solid">
        <fgColor rgb="FFFFFFFF"/>
        <bgColor rgb="FFFFFFFF"/>
      </patternFill>
    </fill>
    <fill>
      <patternFill patternType="solid">
        <fgColor rgb="FFEEECE1"/>
        <bgColor rgb="FFFFFFFF"/>
      </patternFill>
    </fill>
    <fill>
      <patternFill patternType="solid">
        <fgColor rgb="FFEEECE1"/>
        <bgColor rgb="FFFFFFFF"/>
      </patternFill>
    </fill>
    <fill>
      <patternFill patternType="solid">
        <fgColor rgb="FF1F497D"/>
        <bgColor rgb="FFFFFFFF"/>
      </patternFill>
    </fill>
    <fill>
      <patternFill patternType="solid">
        <fgColor rgb="FF1F497D"/>
        <bgColor rgb="FFFFFFFF"/>
      </patternFill>
    </fill>
    <fill>
      <patternFill patternType="solid">
        <fgColor rgb="FF1F497D"/>
        <bgColor rgb="FFFFFFFF"/>
      </patternFill>
    </fill>
    <fill>
      <patternFill patternType="solid">
        <fgColor rgb="FF1F497D"/>
        <bgColor rgb="FFFFFFFF"/>
      </patternFill>
    </fill>
    <fill>
      <patternFill patternType="solid">
        <fgColor rgb="FF1F497D"/>
        <bgColor rgb="FFFFFFFF"/>
      </patternFill>
    </fill>
    <fill>
      <patternFill patternType="solid">
        <fgColor rgb="FF1F497D"/>
        <bgColor rgb="FFFFFFFF"/>
      </patternFill>
    </fill>
    <fill>
      <patternFill patternType="solid">
        <fgColor rgb="FF1F497D"/>
        <bgColor rgb="FFFFFFFF"/>
      </patternFill>
    </fill>
    <fill>
      <patternFill patternType="solid">
        <fgColor rgb="FF1F497D"/>
        <bgColor rgb="FFFFFFFF"/>
      </patternFill>
    </fill>
    <fill>
      <patternFill patternType="solid">
        <fgColor rgb="FFDAEEF3"/>
        <bgColor rgb="FFFFFFFF"/>
      </patternFill>
    </fill>
    <fill>
      <patternFill patternType="solid">
        <fgColor rgb="FF585858"/>
        <bgColor rgb="FFFFFFFF"/>
      </patternFill>
    </fill>
    <fill>
      <patternFill patternType="solid">
        <fgColor rgb="FF585858"/>
        <bgColor rgb="FFFFFFFF"/>
      </patternFill>
    </fill>
    <fill>
      <patternFill patternType="solid">
        <fgColor rgb="FFFFFF00"/>
        <bgColor rgb="FFFFFFFF"/>
      </patternFill>
    </fill>
    <fill>
      <patternFill patternType="solid">
        <fgColor rgb="FFFFFF00"/>
        <bgColor rgb="FFFFFFFF"/>
      </patternFill>
    </fill>
    <fill>
      <patternFill patternType="solid">
        <fgColor rgb="FFFFFF00"/>
        <bgColor rgb="FFFFFFFF"/>
      </patternFill>
    </fill>
    <fill>
      <patternFill patternType="solid">
        <fgColor rgb="FFFFFF00"/>
        <bgColor rgb="FFFFFFFF"/>
      </patternFill>
    </fill>
    <fill>
      <patternFill patternType="solid">
        <fgColor rgb="FFEEECE1"/>
        <bgColor rgb="FFFFFFFF"/>
      </patternFill>
    </fill>
    <fill>
      <patternFill patternType="solid">
        <fgColor rgb="FFEEECE1"/>
        <bgColor rgb="FFFFFFFF"/>
      </patternFill>
    </fill>
    <fill>
      <patternFill patternType="solid">
        <fgColor rgb="FFFFFF00"/>
        <bgColor rgb="FFFFFFFF"/>
      </patternFill>
    </fill>
    <fill>
      <patternFill patternType="solid">
        <fgColor rgb="FFFFFF00"/>
        <bgColor rgb="FFFFFFFF"/>
      </patternFill>
    </fill>
    <fill>
      <patternFill patternType="solid">
        <fgColor rgb="FFFFFF00"/>
        <bgColor rgb="FFFFFFFF"/>
      </patternFill>
    </fill>
    <fill>
      <patternFill patternType="solid">
        <fgColor rgb="FFFFFFFF"/>
        <bgColor rgb="FFFFFFFF"/>
      </patternFill>
    </fill>
    <fill>
      <patternFill patternType="solid">
        <fgColor rgb="FFFFFFFF"/>
        <bgColor rgb="FFFFFFFF"/>
      </patternFill>
    </fill>
    <fill>
      <patternFill patternType="solid">
        <fgColor rgb="FFBFBFBF"/>
        <bgColor rgb="FFFFFFFF"/>
      </patternFill>
    </fill>
    <fill>
      <patternFill patternType="solid">
        <fgColor rgb="FFBFBFBF"/>
        <bgColor rgb="FFFFFFFF"/>
      </patternFill>
    </fill>
    <fill>
      <patternFill patternType="solid">
        <fgColor rgb="FFD8D8D8"/>
        <bgColor rgb="FFFFFFFF"/>
      </patternFill>
    </fill>
    <fill>
      <patternFill patternType="solid">
        <fgColor rgb="FFD8D8D8"/>
        <bgColor rgb="FFFFFFFF"/>
      </patternFill>
    </fill>
    <fill>
      <patternFill patternType="solid">
        <fgColor rgb="FFD8D8D8"/>
        <bgColor rgb="FFFFFFFF"/>
      </patternFill>
    </fill>
    <fill>
      <patternFill patternType="solid">
        <fgColor rgb="FFD8D8D8"/>
        <bgColor rgb="FFFFFFFF"/>
      </patternFill>
    </fill>
    <fill>
      <patternFill patternType="solid">
        <fgColor rgb="FFD8D8D8"/>
        <bgColor rgb="FFFFFFFF"/>
      </patternFill>
    </fill>
    <fill>
      <patternFill patternType="solid">
        <fgColor rgb="FF585858"/>
        <bgColor rgb="FFFFFFFF"/>
      </patternFill>
    </fill>
    <fill>
      <patternFill patternType="solid">
        <fgColor rgb="FF585858"/>
        <bgColor rgb="FFFFFFFF"/>
      </patternFill>
    </fill>
    <fill>
      <patternFill patternType="solid">
        <fgColor rgb="FFD8D8D8"/>
        <bgColor rgb="FFFFFFFF"/>
      </patternFill>
    </fill>
    <fill>
      <patternFill patternType="solid">
        <fgColor rgb="FFBFBFBF"/>
        <bgColor rgb="FFFFFFFF"/>
      </patternFill>
    </fill>
    <fill>
      <patternFill patternType="solid">
        <fgColor rgb="FFBFBFBF"/>
        <bgColor rgb="FFFFFFFF"/>
      </patternFill>
    </fill>
    <fill>
      <patternFill patternType="solid">
        <fgColor rgb="FFD8D8D8"/>
        <bgColor rgb="FFFFFFFF"/>
      </patternFill>
    </fill>
    <fill>
      <patternFill patternType="solid">
        <fgColor rgb="FFD8D8D8"/>
        <bgColor rgb="FFFFFFFF"/>
      </patternFill>
    </fill>
    <fill>
      <patternFill patternType="solid">
        <fgColor rgb="FFBFBFBF"/>
        <bgColor rgb="FFFFFFFF"/>
      </patternFill>
    </fill>
    <fill>
      <patternFill patternType="solid">
        <fgColor rgb="FFBFBFBF"/>
        <bgColor rgb="FFFFFFFF"/>
      </patternFill>
    </fill>
    <fill>
      <patternFill patternType="solid">
        <fgColor rgb="FFD8D8D8"/>
        <bgColor rgb="FFFFFFFF"/>
      </patternFill>
    </fill>
    <fill>
      <patternFill patternType="solid">
        <fgColor rgb="FFD8D8D8"/>
        <bgColor rgb="FFFFFFFF"/>
      </patternFill>
    </fill>
    <fill>
      <patternFill patternType="solid">
        <fgColor rgb="FFDCE6F1"/>
        <bgColor rgb="FFFFFFFF"/>
      </patternFill>
    </fill>
    <fill>
      <patternFill patternType="solid">
        <fgColor rgb="FFFFFF00"/>
        <bgColor rgb="FFFFFFFF"/>
      </patternFill>
    </fill>
    <fill>
      <patternFill patternType="solid">
        <fgColor rgb="FFFFFFFF"/>
        <bgColor rgb="FFFFFFFF"/>
      </patternFill>
    </fill>
    <fill>
      <patternFill patternType="solid">
        <fgColor rgb="FFFFFF00"/>
        <bgColor rgb="FFFFFFFF"/>
      </patternFill>
    </fill>
    <fill>
      <patternFill patternType="solid">
        <fgColor rgb="FFFFFF00"/>
        <bgColor rgb="FFFFFFFF"/>
      </patternFill>
    </fill>
    <fill>
      <patternFill patternType="solid">
        <fgColor rgb="FFFFFF00"/>
        <bgColor rgb="FFFFFFFF"/>
      </patternFill>
    </fill>
    <fill>
      <patternFill patternType="solid">
        <fgColor rgb="FFFFFF00"/>
        <bgColor rgb="FFFFFFFF"/>
      </patternFill>
    </fill>
    <fill>
      <patternFill patternType="solid">
        <fgColor rgb="FFFFFF00"/>
        <bgColor rgb="FFFFFFFF"/>
      </patternFill>
    </fill>
    <fill>
      <patternFill patternType="solid">
        <fgColor rgb="FFFFFF00"/>
        <bgColor rgb="FFFFFFFF"/>
      </patternFill>
    </fill>
    <fill>
      <patternFill patternType="solid">
        <fgColor rgb="FFEEECE1"/>
        <bgColor rgb="FFFFFFFF"/>
      </patternFill>
    </fill>
    <fill>
      <patternFill patternType="solid">
        <fgColor rgb="FFEEECE1"/>
        <bgColor rgb="FFFFFFFF"/>
      </patternFill>
    </fill>
    <fill>
      <patternFill patternType="solid">
        <fgColor rgb="FFEEECE1"/>
        <bgColor rgb="FFFFFFFF"/>
      </patternFill>
    </fill>
    <fill>
      <patternFill patternType="solid">
        <fgColor rgb="FFD8D8D8"/>
        <bgColor rgb="FFFFFFFF"/>
      </patternFill>
    </fill>
    <fill>
      <patternFill patternType="solid">
        <fgColor rgb="FFFFFFFF"/>
        <bgColor rgb="FFFFFFFF"/>
      </patternFill>
    </fill>
    <fill>
      <patternFill patternType="solid">
        <fgColor rgb="FFEEECE1"/>
        <bgColor rgb="FFFFFFFF"/>
      </patternFill>
    </fill>
    <fill>
      <patternFill patternType="solid">
        <fgColor rgb="FF008080"/>
        <bgColor rgb="FFFFFFFF"/>
      </patternFill>
    </fill>
    <fill>
      <patternFill patternType="solid">
        <fgColor rgb="FF99CCFF"/>
        <bgColor rgb="FFFFFFFF"/>
      </patternFill>
    </fill>
    <fill>
      <patternFill patternType="solid">
        <fgColor rgb="FFCCFFFF"/>
        <bgColor rgb="FFFFFFFF"/>
      </patternFill>
    </fill>
    <fill>
      <patternFill patternType="solid">
        <fgColor rgb="FFCCFFFF"/>
        <bgColor rgb="FFFFFFFF"/>
      </patternFill>
    </fill>
    <fill>
      <patternFill patternType="solid">
        <fgColor rgb="FFCCFFFF"/>
        <bgColor rgb="FFFFFFFF"/>
      </patternFill>
    </fill>
    <fill>
      <patternFill patternType="solid">
        <fgColor rgb="FF585858"/>
        <bgColor rgb="FFFFFFFF"/>
      </patternFill>
    </fill>
    <fill>
      <patternFill patternType="solid">
        <fgColor rgb="FF585858"/>
        <bgColor rgb="FFFFFFFF"/>
      </patternFill>
    </fill>
    <fill>
      <patternFill patternType="solid">
        <fgColor rgb="FF585858"/>
        <bgColor rgb="FFFFFFFF"/>
      </patternFill>
    </fill>
    <fill>
      <patternFill patternType="solid">
        <fgColor rgb="FF585858"/>
        <bgColor rgb="FFFFFFFF"/>
      </patternFill>
    </fill>
    <fill>
      <patternFill patternType="solid">
        <fgColor rgb="FF585858"/>
        <bgColor rgb="FFFFFFFF"/>
      </patternFill>
    </fill>
    <fill>
      <patternFill patternType="solid">
        <fgColor rgb="FF585858"/>
        <bgColor rgb="FFFFFFFF"/>
      </patternFill>
    </fill>
    <fill>
      <patternFill patternType="solid">
        <fgColor rgb="FF585858"/>
        <bgColor rgb="FFFFFFFF"/>
      </patternFill>
    </fill>
    <fill>
      <patternFill patternType="solid">
        <fgColor rgb="FF585858"/>
        <bgColor rgb="FFFFFFFF"/>
      </patternFill>
    </fill>
    <fill>
      <patternFill patternType="solid">
        <fgColor rgb="FF585858"/>
        <bgColor rgb="FFFFFFFF"/>
      </patternFill>
    </fill>
    <fill>
      <patternFill patternType="solid">
        <fgColor rgb="FF585858"/>
        <bgColor rgb="FFFFFFFF"/>
      </patternFill>
    </fill>
    <fill>
      <patternFill patternType="solid">
        <fgColor rgb="FF585858"/>
        <bgColor rgb="FFFFFFFF"/>
      </patternFill>
    </fill>
    <fill>
      <patternFill patternType="solid">
        <fgColor rgb="FF585858"/>
        <bgColor rgb="FFFFFFFF"/>
      </patternFill>
    </fill>
    <fill>
      <patternFill patternType="solid">
        <fgColor rgb="FF585858"/>
        <bgColor rgb="FFFFFFFF"/>
      </patternFill>
    </fill>
    <fill>
      <patternFill patternType="solid">
        <fgColor rgb="FF585858"/>
        <bgColor rgb="FFFFFFFF"/>
      </patternFill>
    </fill>
    <fill>
      <patternFill patternType="solid">
        <fgColor rgb="FF585858"/>
        <bgColor rgb="FFFFFFFF"/>
      </patternFill>
    </fill>
    <fill>
      <patternFill patternType="solid">
        <fgColor rgb="FF585858"/>
        <bgColor rgb="FFFFFFFF"/>
      </patternFill>
    </fill>
    <fill>
      <patternFill patternType="solid">
        <fgColor rgb="FF585858"/>
        <bgColor rgb="FFFFFFFF"/>
      </patternFill>
    </fill>
    <fill>
      <patternFill patternType="solid">
        <fgColor rgb="FF585858"/>
        <bgColor rgb="FFFFFFFF"/>
      </patternFill>
    </fill>
    <fill>
      <patternFill patternType="solid">
        <fgColor rgb="FFFDE9D9"/>
        <bgColor rgb="FFFFFFFF"/>
      </patternFill>
    </fill>
    <fill>
      <patternFill patternType="solid">
        <fgColor rgb="FFFDE9D9"/>
        <bgColor rgb="FFFFFFFF"/>
      </patternFill>
    </fill>
    <fill>
      <patternFill patternType="solid">
        <fgColor rgb="FFFDE9D9"/>
        <bgColor rgb="FFFFFFFF"/>
      </patternFill>
    </fill>
    <fill>
      <patternFill patternType="solid">
        <fgColor rgb="FFFFFFFF"/>
        <bgColor rgb="FFFFFFFF"/>
      </patternFill>
    </fill>
    <fill>
      <patternFill patternType="solid">
        <fgColor rgb="FFFFFFFF"/>
        <bgColor rgb="FFFFFFFF"/>
      </patternFill>
    </fill>
    <fill>
      <patternFill patternType="solid">
        <fgColor rgb="FFD7E3BB"/>
        <bgColor rgb="FFFFFFFF"/>
      </patternFill>
    </fill>
    <fill>
      <patternFill patternType="solid">
        <fgColor rgb="FFEBF1DC"/>
        <bgColor rgb="FFFFFFFF"/>
      </patternFill>
    </fill>
    <fill>
      <patternFill patternType="solid">
        <fgColor rgb="FFEBF1DC"/>
        <bgColor rgb="FFFFFFFF"/>
      </patternFill>
    </fill>
    <fill>
      <patternFill patternType="solid">
        <fgColor rgb="FFEBF1DC"/>
        <bgColor rgb="FFFFFFFF"/>
      </patternFill>
    </fill>
    <fill>
      <patternFill patternType="solid">
        <fgColor rgb="FFFFFFFF"/>
        <bgColor rgb="FFFFFFFF"/>
      </patternFill>
    </fill>
    <fill>
      <patternFill patternType="solid">
        <fgColor rgb="FFFFFFFF"/>
        <bgColor rgb="FFFFFFFF"/>
      </patternFill>
    </fill>
    <fill>
      <patternFill patternType="solid">
        <fgColor rgb="FFDCE6F1"/>
        <bgColor rgb="FFFFFFFF"/>
      </patternFill>
    </fill>
    <fill>
      <patternFill patternType="solid">
        <fgColor rgb="FFDCE6F1"/>
        <bgColor rgb="FFFFFFFF"/>
      </patternFill>
    </fill>
    <fill>
      <patternFill patternType="solid">
        <fgColor rgb="FF4F81BD"/>
        <bgColor rgb="FFFFFFFF"/>
      </patternFill>
    </fill>
    <fill>
      <patternFill patternType="solid">
        <fgColor rgb="FF4F81BD"/>
        <bgColor rgb="FFFFFFFF"/>
      </patternFill>
    </fill>
    <fill>
      <patternFill patternType="solid">
        <fgColor rgb="FF4F81BD"/>
        <bgColor rgb="FFFFFFFF"/>
      </patternFill>
    </fill>
    <fill>
      <patternFill patternType="solid">
        <fgColor rgb="FF4F81BD"/>
        <bgColor rgb="FFFFFFFF"/>
      </patternFill>
    </fill>
    <fill>
      <patternFill patternType="solid">
        <fgColor rgb="FF0000FF"/>
        <bgColor rgb="FFFFFFFF"/>
      </patternFill>
    </fill>
    <fill>
      <patternFill patternType="solid">
        <fgColor rgb="FF0000FF"/>
        <bgColor rgb="FFFFFFFF"/>
      </patternFill>
    </fill>
    <fill>
      <patternFill patternType="solid">
        <fgColor rgb="FF4F81BD"/>
        <bgColor rgb="FFFFFFFF"/>
      </patternFill>
    </fill>
    <fill>
      <patternFill patternType="solid">
        <fgColor rgb="FF4F81BD"/>
        <bgColor rgb="FFFFFFFF"/>
      </patternFill>
    </fill>
    <fill>
      <patternFill patternType="solid">
        <fgColor rgb="FF4F81BD"/>
        <bgColor rgb="FFFFFFFF"/>
      </patternFill>
    </fill>
    <fill>
      <patternFill patternType="solid">
        <fgColor rgb="FF4F81BD"/>
        <bgColor rgb="FFFFFFFF"/>
      </patternFill>
    </fill>
    <fill>
      <patternFill patternType="solid">
        <fgColor rgb="FF4F81BD"/>
        <bgColor rgb="FFFFFFFF"/>
      </patternFill>
    </fill>
    <fill>
      <patternFill patternType="solid">
        <fgColor rgb="FF4F81BD"/>
        <bgColor rgb="FFFFFFFF"/>
      </patternFill>
    </fill>
    <fill>
      <patternFill patternType="solid">
        <fgColor rgb="FF4F81BD"/>
        <bgColor rgb="FFFFFFFF"/>
      </patternFill>
    </fill>
    <fill>
      <patternFill patternType="solid">
        <fgColor rgb="FF4F81BD"/>
        <bgColor rgb="FFFFFFFF"/>
      </patternFill>
    </fill>
    <fill>
      <patternFill patternType="solid">
        <fgColor rgb="FF4F81BD"/>
        <bgColor rgb="FFFFFFFF"/>
      </patternFill>
    </fill>
    <fill>
      <patternFill patternType="solid">
        <fgColor rgb="FF4F81BD"/>
        <bgColor rgb="FFFFFFFF"/>
      </patternFill>
    </fill>
    <fill>
      <patternFill patternType="solid">
        <fgColor rgb="FF4F81BD"/>
        <bgColor rgb="FFFFFFFF"/>
      </patternFill>
    </fill>
    <fill>
      <patternFill patternType="solid">
        <fgColor rgb="FF4F81BD"/>
        <bgColor rgb="FFFFFFFF"/>
      </patternFill>
    </fill>
    <fill>
      <patternFill patternType="solid">
        <fgColor rgb="FF4F81BD"/>
        <bgColor rgb="FFFFFFFF"/>
      </patternFill>
    </fill>
    <fill>
      <patternFill patternType="solid">
        <fgColor rgb="FF000000"/>
        <bgColor rgb="FFFFFFFF"/>
      </patternFill>
    </fill>
    <fill>
      <patternFill patternType="solid">
        <fgColor rgb="FF000000"/>
        <bgColor rgb="FFFFFFFF"/>
      </patternFill>
    </fill>
    <fill>
      <patternFill patternType="solid">
        <fgColor rgb="FF000000"/>
        <bgColor rgb="FFFFFFFF"/>
      </patternFill>
    </fill>
    <fill>
      <patternFill patternType="solid">
        <fgColor rgb="FF999999"/>
        <bgColor rgb="FFFFFFFF"/>
      </patternFill>
    </fill>
    <fill>
      <patternFill patternType="solid">
        <fgColor rgb="FF999999"/>
        <bgColor rgb="FFFFFFFF"/>
      </patternFill>
    </fill>
    <fill>
      <patternFill patternType="solid">
        <fgColor rgb="FF999999"/>
        <bgColor rgb="FFFFFFFF"/>
      </patternFill>
    </fill>
    <fill>
      <patternFill patternType="solid">
        <fgColor rgb="FF999999"/>
        <bgColor rgb="FFFFFFFF"/>
      </patternFill>
    </fill>
    <fill>
      <patternFill patternType="solid">
        <fgColor rgb="FF999999"/>
        <bgColor rgb="FFFFFFFF"/>
      </patternFill>
    </fill>
    <fill>
      <patternFill patternType="solid">
        <fgColor rgb="FF919191"/>
        <bgColor rgb="FFFFFFFF"/>
      </patternFill>
    </fill>
    <fill>
      <patternFill patternType="solid">
        <fgColor rgb="FF919191"/>
        <bgColor rgb="FFFFFFFF"/>
      </patternFill>
    </fill>
    <fill>
      <patternFill patternType="solid">
        <fgColor rgb="FF919191"/>
        <bgColor rgb="FFFFFFFF"/>
      </patternFill>
    </fill>
    <fill>
      <patternFill patternType="solid">
        <fgColor rgb="FF919191"/>
        <bgColor rgb="FFFFFFFF"/>
      </patternFill>
    </fill>
    <fill>
      <patternFill patternType="solid">
        <fgColor rgb="FF919191"/>
        <bgColor rgb="FFFFFFFF"/>
      </patternFill>
    </fill>
    <fill>
      <patternFill patternType="solid">
        <fgColor rgb="FFC5D9F1"/>
        <bgColor rgb="FFFFFFFF"/>
      </patternFill>
    </fill>
    <fill>
      <patternFill patternType="solid">
        <fgColor rgb="FFC5D9F1"/>
        <bgColor rgb="FFFFFFFF"/>
      </patternFill>
    </fill>
    <fill>
      <patternFill patternType="solid">
        <fgColor rgb="FFFFFFFF"/>
        <bgColor rgb="FFFFFFFF"/>
      </patternFill>
    </fill>
    <fill>
      <patternFill patternType="solid">
        <fgColor rgb="FFFFFFFF"/>
        <bgColor rgb="FFFFFFFF"/>
      </patternFill>
    </fill>
    <fill>
      <patternFill patternType="solid">
        <fgColor rgb="FF1F497D"/>
        <bgColor rgb="FFFFFFFF"/>
      </patternFill>
    </fill>
    <fill>
      <patternFill patternType="solid">
        <fgColor rgb="FF1F497D"/>
        <bgColor rgb="FFFFFFFF"/>
      </patternFill>
    </fill>
    <fill>
      <patternFill patternType="solid">
        <fgColor rgb="FF1F497D"/>
        <bgColor rgb="FFFFFFFF"/>
      </patternFill>
    </fill>
    <fill>
      <patternFill patternType="solid">
        <fgColor rgb="FF1F497D"/>
        <bgColor rgb="FFFFFFFF"/>
      </patternFill>
    </fill>
    <fill>
      <patternFill patternType="solid">
        <fgColor rgb="FF1F497D"/>
        <bgColor rgb="FFFFFFFF"/>
      </patternFill>
    </fill>
    <fill>
      <patternFill patternType="solid">
        <fgColor rgb="FFC5D9F1"/>
        <bgColor rgb="FFFFFFFF"/>
      </patternFill>
    </fill>
    <fill>
      <patternFill patternType="solid">
        <fgColor rgb="FFC5D9F1"/>
        <bgColor rgb="FFFFFFFF"/>
      </patternFill>
    </fill>
    <fill>
      <patternFill patternType="solid">
        <fgColor rgb="FFC5D9F1"/>
        <bgColor rgb="FFFFFFFF"/>
      </patternFill>
    </fill>
    <fill>
      <patternFill patternType="solid">
        <fgColor rgb="FFFFFFFF"/>
        <bgColor rgb="FFFFFFFF"/>
      </patternFill>
    </fill>
    <fill>
      <patternFill patternType="solid">
        <fgColor theme="0" tint="-0.14999847407452621"/>
        <bgColor indexed="64"/>
      </patternFill>
    </fill>
    <fill>
      <patternFill patternType="solid">
        <fgColor rgb="FFFFFFFF"/>
        <bgColor indexed="64"/>
      </patternFill>
    </fill>
  </fills>
  <borders count="21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medium">
        <color rgb="FF000000"/>
      </right>
      <top style="thin">
        <color rgb="FF000000"/>
      </top>
      <bottom style="thick">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style="thin">
        <color rgb="FF000000"/>
      </bottom>
      <diagonal/>
    </border>
    <border>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ck">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ck">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diagonal/>
    </border>
    <border>
      <left style="thick">
        <color rgb="FF000000"/>
      </left>
      <right style="thick">
        <color rgb="FF000000"/>
      </right>
      <top style="medium">
        <color rgb="FF000000"/>
      </top>
      <bottom/>
      <diagonal/>
    </border>
    <border>
      <left style="thick">
        <color rgb="FF000000"/>
      </left>
      <right style="thick">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n">
        <color rgb="FF000000"/>
      </right>
      <top style="medium">
        <color rgb="FF000000"/>
      </top>
      <bottom style="thick">
        <color rgb="FF000000"/>
      </bottom>
      <diagonal/>
    </border>
    <border>
      <left style="thin">
        <color rgb="FF000000"/>
      </left>
      <right style="thin">
        <color rgb="FF000000"/>
      </right>
      <top style="medium">
        <color rgb="FF000000"/>
      </top>
      <bottom style="thick">
        <color rgb="FF000000"/>
      </bottom>
      <diagonal/>
    </border>
    <border>
      <left style="thick">
        <color rgb="FF000000"/>
      </left>
      <right style="thin">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s>
  <cellStyleXfs count="2">
    <xf numFmtId="0" fontId="0" fillId="0" borderId="0"/>
    <xf numFmtId="9" fontId="33" fillId="0" borderId="0"/>
  </cellStyleXfs>
  <cellXfs count="448">
    <xf numFmtId="0" fontId="0" fillId="0" borderId="0" xfId="0"/>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3" fontId="1" fillId="5" borderId="4" xfId="0" applyNumberFormat="1" applyFont="1" applyFill="1" applyBorder="1" applyAlignment="1">
      <alignment horizontal="center" vertical="center" wrapText="1"/>
    </xf>
    <xf numFmtId="0" fontId="5" fillId="4" borderId="3" xfId="0" applyFont="1" applyFill="1" applyBorder="1" applyAlignment="1">
      <alignment horizontal="left" vertical="center" wrapText="1"/>
    </xf>
    <xf numFmtId="3" fontId="0" fillId="0" borderId="0" xfId="0" applyNumberFormat="1" applyAlignment="1">
      <alignment horizontal="center" vertical="center" wrapText="1"/>
    </xf>
    <xf numFmtId="3" fontId="3" fillId="4" borderId="3" xfId="0" applyNumberFormat="1" applyFont="1" applyFill="1" applyBorder="1" applyAlignment="1">
      <alignment horizontal="center" vertical="center" wrapText="1"/>
    </xf>
    <xf numFmtId="0" fontId="6" fillId="0" borderId="0" xfId="0" applyFont="1" applyAlignment="1">
      <alignment horizontal="center" vertical="center" wrapText="1"/>
    </xf>
    <xf numFmtId="0" fontId="5" fillId="2"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3" fontId="0" fillId="4" borderId="3" xfId="0" applyNumberFormat="1" applyFill="1" applyBorder="1" applyAlignment="1">
      <alignment horizontal="center" vertical="center" wrapText="1"/>
    </xf>
    <xf numFmtId="0" fontId="0" fillId="4" borderId="3" xfId="0" applyFill="1" applyBorder="1" applyAlignment="1">
      <alignment horizontal="center" vertical="center" wrapText="1"/>
    </xf>
    <xf numFmtId="3" fontId="5" fillId="5" borderId="4"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3" fontId="0" fillId="6" borderId="5" xfId="0" applyNumberFormat="1" applyFill="1" applyBorder="1" applyAlignment="1">
      <alignment horizontal="center" vertical="center" wrapText="1"/>
    </xf>
    <xf numFmtId="0" fontId="0" fillId="7" borderId="6" xfId="0" applyFill="1" applyBorder="1" applyAlignment="1">
      <alignment horizontal="center" vertical="center" wrapText="1"/>
    </xf>
    <xf numFmtId="3" fontId="0" fillId="8" borderId="7" xfId="0" applyNumberFormat="1" applyFill="1" applyBorder="1" applyAlignment="1">
      <alignment horizontal="center" vertical="center" wrapText="1"/>
    </xf>
    <xf numFmtId="3" fontId="8" fillId="5" borderId="4"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xf numFmtId="0" fontId="11" fillId="0" borderId="0" xfId="0" applyFont="1" applyAlignment="1">
      <alignment horizontal="center" vertical="center" wrapText="1"/>
    </xf>
    <xf numFmtId="0" fontId="11" fillId="0" borderId="0" xfId="0" applyFont="1"/>
    <xf numFmtId="0" fontId="5" fillId="0" borderId="8" xfId="0" applyFont="1" applyBorder="1" applyAlignment="1">
      <alignment horizontal="center" vertical="center" wrapText="1"/>
    </xf>
    <xf numFmtId="0" fontId="11" fillId="0" borderId="0" xfId="0" applyFont="1" applyAlignment="1">
      <alignment horizontal="left" vertical="center" wrapText="1"/>
    </xf>
    <xf numFmtId="0" fontId="0" fillId="0" borderId="0" xfId="0" applyAlignment="1">
      <alignment horizontal="left" vertical="center" wrapText="1"/>
    </xf>
    <xf numFmtId="0" fontId="0" fillId="4" borderId="3" xfId="0" applyFill="1" applyBorder="1" applyAlignment="1">
      <alignment horizontal="left" vertical="top" wrapText="1"/>
    </xf>
    <xf numFmtId="0" fontId="0" fillId="0" borderId="8" xfId="0" applyBorder="1" applyAlignment="1">
      <alignment horizontal="lef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5" fillId="9" borderId="9" xfId="0" applyFont="1" applyFill="1" applyBorder="1" applyAlignment="1">
      <alignment horizontal="left" vertical="center" wrapText="1"/>
    </xf>
    <xf numFmtId="0" fontId="0" fillId="9" borderId="9" xfId="0" applyFill="1" applyBorder="1" applyAlignment="1">
      <alignment horizontal="left" vertical="top" wrapText="1"/>
    </xf>
    <xf numFmtId="0" fontId="5" fillId="9" borderId="9" xfId="0" applyFont="1" applyFill="1" applyBorder="1" applyAlignment="1">
      <alignment horizontal="center" vertical="center" wrapText="1"/>
    </xf>
    <xf numFmtId="0" fontId="0" fillId="10" borderId="10" xfId="0" applyFill="1" applyBorder="1" applyAlignment="1">
      <alignment horizontal="center" vertical="center" wrapText="1"/>
    </xf>
    <xf numFmtId="3" fontId="5" fillId="11" borderId="11" xfId="0" applyNumberFormat="1" applyFont="1" applyFill="1" applyBorder="1" applyAlignment="1">
      <alignment horizontal="center" vertical="center" wrapText="1"/>
    </xf>
    <xf numFmtId="3" fontId="5" fillId="9" borderId="9"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0" fillId="0" borderId="13" xfId="0" applyNumberFormat="1" applyBorder="1" applyAlignment="1">
      <alignment horizontal="center" vertical="center" wrapText="1"/>
    </xf>
    <xf numFmtId="3" fontId="0" fillId="0" borderId="8" xfId="0" applyNumberFormat="1" applyBorder="1" applyAlignment="1">
      <alignment horizontal="center" vertical="center" wrapText="1"/>
    </xf>
    <xf numFmtId="0" fontId="0" fillId="0" borderId="14" xfId="0" applyBorder="1" applyAlignment="1">
      <alignment horizontal="center" vertical="center" wrapText="1"/>
    </xf>
    <xf numFmtId="3" fontId="0" fillId="0" borderId="15"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12" borderId="16" xfId="0" applyFill="1" applyBorder="1" applyAlignment="1">
      <alignment horizontal="center" vertical="center" wrapText="1"/>
    </xf>
    <xf numFmtId="3" fontId="0" fillId="13" borderId="17" xfId="0" applyNumberFormat="1" applyFill="1" applyBorder="1" applyAlignment="1">
      <alignment horizontal="center" vertical="center" wrapText="1"/>
    </xf>
    <xf numFmtId="3" fontId="0" fillId="9" borderId="9" xfId="0" applyNumberFormat="1" applyFill="1" applyBorder="1" applyAlignment="1">
      <alignment horizontal="center" vertical="center" wrapText="1"/>
    </xf>
    <xf numFmtId="0" fontId="5" fillId="9" borderId="9" xfId="0" applyFont="1" applyFill="1" applyBorder="1" applyAlignment="1">
      <alignment horizontal="left" vertical="top" wrapText="1"/>
    </xf>
    <xf numFmtId="3" fontId="5" fillId="12" borderId="16" xfId="0" applyNumberFormat="1" applyFont="1" applyFill="1" applyBorder="1" applyAlignment="1">
      <alignment horizontal="center" vertical="center" wrapText="1"/>
    </xf>
    <xf numFmtId="3" fontId="5" fillId="13" borderId="17" xfId="0" applyNumberFormat="1" applyFont="1" applyFill="1" applyBorder="1" applyAlignment="1">
      <alignment horizontal="center" vertical="center" wrapText="1"/>
    </xf>
    <xf numFmtId="3" fontId="5" fillId="14" borderId="18" xfId="0" applyNumberFormat="1" applyFont="1" applyFill="1" applyBorder="1" applyAlignment="1">
      <alignment horizontal="center" vertical="center" wrapText="1"/>
    </xf>
    <xf numFmtId="0" fontId="0" fillId="0" borderId="19" xfId="0" applyBorder="1" applyAlignment="1">
      <alignment horizontal="center" vertical="center" wrapText="1"/>
    </xf>
    <xf numFmtId="3" fontId="5" fillId="0" borderId="20" xfId="0" applyNumberFormat="1" applyFont="1" applyBorder="1" applyAlignment="1">
      <alignment horizontal="center" vertical="center" wrapText="1"/>
    </xf>
    <xf numFmtId="3" fontId="0" fillId="15" borderId="21" xfId="0" applyNumberFormat="1" applyFill="1" applyBorder="1" applyAlignment="1">
      <alignment horizontal="center" vertical="center" wrapText="1"/>
    </xf>
    <xf numFmtId="3" fontId="0" fillId="16" borderId="22" xfId="0" applyNumberFormat="1" applyFill="1" applyBorder="1" applyAlignment="1">
      <alignment horizontal="center" vertical="center" wrapText="1"/>
    </xf>
    <xf numFmtId="3" fontId="12" fillId="14" borderId="18" xfId="0" applyNumberFormat="1" applyFont="1" applyFill="1" applyBorder="1" applyAlignment="1">
      <alignment horizontal="center" vertical="center" wrapText="1"/>
    </xf>
    <xf numFmtId="9" fontId="11" fillId="9" borderId="9" xfId="1" applyFont="1" applyFill="1" applyBorder="1" applyAlignment="1">
      <alignment horizontal="center" vertical="center" wrapText="1"/>
    </xf>
    <xf numFmtId="0" fontId="15" fillId="0" borderId="8" xfId="0" applyFont="1" applyBorder="1" applyAlignment="1">
      <alignment horizontal="left" vertical="top" wrapText="1"/>
    </xf>
    <xf numFmtId="0" fontId="11" fillId="0" borderId="8" xfId="0" applyFont="1" applyBorder="1" applyAlignment="1">
      <alignment horizontal="center" vertical="center" wrapText="1"/>
    </xf>
    <xf numFmtId="0" fontId="15" fillId="0" borderId="14" xfId="0" applyFont="1" applyBorder="1" applyAlignment="1">
      <alignment horizontal="center" vertical="center" wrapText="1"/>
    </xf>
    <xf numFmtId="3" fontId="15" fillId="0" borderId="15" xfId="0" applyNumberFormat="1" applyFont="1" applyBorder="1" applyAlignment="1">
      <alignment horizontal="center" vertical="center" wrapText="1"/>
    </xf>
    <xf numFmtId="3" fontId="15" fillId="0" borderId="8" xfId="0" applyNumberFormat="1" applyFont="1" applyBorder="1" applyAlignment="1">
      <alignment horizontal="center" vertical="center" wrapText="1"/>
    </xf>
    <xf numFmtId="3" fontId="15" fillId="0" borderId="0" xfId="0" applyNumberFormat="1" applyFont="1" applyAlignment="1">
      <alignment horizontal="center" vertical="center" wrapText="1"/>
    </xf>
    <xf numFmtId="3" fontId="15" fillId="16" borderId="22"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xf numFmtId="0" fontId="15" fillId="0" borderId="23" xfId="0" applyFont="1" applyBorder="1" applyAlignment="1">
      <alignment horizontal="left" vertical="top" wrapText="1"/>
    </xf>
    <xf numFmtId="0" fontId="15" fillId="0" borderId="8" xfId="0" applyFont="1" applyBorder="1" applyAlignment="1">
      <alignment horizontal="center" vertical="center" wrapText="1"/>
    </xf>
    <xf numFmtId="3" fontId="11" fillId="16" borderId="22" xfId="0" applyNumberFormat="1" applyFont="1" applyFill="1" applyBorder="1" applyAlignment="1">
      <alignment horizontal="center" vertical="center" wrapText="1"/>
    </xf>
    <xf numFmtId="3" fontId="15" fillId="0" borderId="12" xfId="0" applyNumberFormat="1" applyFont="1" applyBorder="1" applyAlignment="1">
      <alignment horizontal="center" vertical="center" wrapText="1"/>
    </xf>
    <xf numFmtId="3" fontId="16" fillId="9" borderId="9" xfId="0" applyNumberFormat="1" applyFont="1" applyFill="1" applyBorder="1" applyAlignment="1">
      <alignment horizontal="center" vertical="center" wrapText="1"/>
    </xf>
    <xf numFmtId="0" fontId="0" fillId="17" borderId="24" xfId="0" applyFill="1" applyBorder="1" applyAlignment="1">
      <alignment horizontal="center" vertical="center" wrapText="1"/>
    </xf>
    <xf numFmtId="3" fontId="11" fillId="0" borderId="8" xfId="0" applyNumberFormat="1" applyFont="1" applyBorder="1" applyAlignment="1">
      <alignment horizontal="center" vertical="center" wrapText="1"/>
    </xf>
    <xf numFmtId="0" fontId="0" fillId="17" borderId="24" xfId="0" applyFill="1" applyBorder="1"/>
    <xf numFmtId="0" fontId="13" fillId="9" borderId="9" xfId="0" applyFont="1" applyFill="1" applyBorder="1" applyAlignment="1">
      <alignment horizontal="left" vertical="center" wrapText="1"/>
    </xf>
    <xf numFmtId="0" fontId="13" fillId="18" borderId="25" xfId="0" applyFont="1" applyFill="1" applyBorder="1" applyAlignment="1">
      <alignment horizontal="left" vertical="center" wrapText="1"/>
    </xf>
    <xf numFmtId="0" fontId="13" fillId="18" borderId="25" xfId="0" applyFont="1" applyFill="1" applyBorder="1" applyAlignment="1">
      <alignment horizontal="left" vertical="top" wrapText="1"/>
    </xf>
    <xf numFmtId="0" fontId="13" fillId="18" borderId="25" xfId="0" applyFont="1" applyFill="1" applyBorder="1" applyAlignment="1">
      <alignment horizontal="center" vertical="center" wrapText="1"/>
    </xf>
    <xf numFmtId="0" fontId="13" fillId="9" borderId="9" xfId="0" applyFont="1" applyFill="1" applyBorder="1" applyAlignment="1">
      <alignment horizontal="center" vertical="center" wrapText="1"/>
    </xf>
    <xf numFmtId="3" fontId="19" fillId="9" borderId="9" xfId="0" applyNumberFormat="1"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xf numFmtId="0" fontId="5" fillId="0" borderId="26" xfId="0" applyFont="1" applyBorder="1" applyAlignment="1">
      <alignment horizontal="left" vertical="top" wrapText="1"/>
    </xf>
    <xf numFmtId="0" fontId="0" fillId="19" borderId="27" xfId="0" applyFill="1" applyBorder="1" applyAlignment="1">
      <alignment horizontal="center" vertical="center" wrapText="1"/>
    </xf>
    <xf numFmtId="3" fontId="0" fillId="20" borderId="28" xfId="0" applyNumberFormat="1" applyFill="1" applyBorder="1" applyAlignment="1">
      <alignment horizontal="center" vertical="center" wrapText="1"/>
    </xf>
    <xf numFmtId="0" fontId="11" fillId="0" borderId="23" xfId="0" applyFont="1" applyBorder="1" applyAlignment="1">
      <alignment horizontal="center" vertical="center" wrapText="1"/>
    </xf>
    <xf numFmtId="3" fontId="15" fillId="0" borderId="23" xfId="0" applyNumberFormat="1" applyFont="1" applyBorder="1" applyAlignment="1">
      <alignment horizontal="center" vertical="center" wrapText="1"/>
    </xf>
    <xf numFmtId="0" fontId="5" fillId="21" borderId="29" xfId="0" applyFont="1" applyFill="1" applyBorder="1" applyAlignment="1">
      <alignment horizontal="left" vertical="center" wrapText="1"/>
    </xf>
    <xf numFmtId="3" fontId="5" fillId="21" borderId="29" xfId="0" applyNumberFormat="1" applyFont="1" applyFill="1" applyBorder="1" applyAlignment="1">
      <alignment horizontal="center" vertical="center" wrapText="1"/>
    </xf>
    <xf numFmtId="3" fontId="5" fillId="22" borderId="30" xfId="0" applyNumberFormat="1" applyFont="1" applyFill="1" applyBorder="1" applyAlignment="1">
      <alignment horizontal="right" vertical="center" wrapText="1"/>
    </xf>
    <xf numFmtId="3" fontId="26" fillId="21" borderId="29" xfId="0" applyNumberFormat="1" applyFont="1" applyFill="1" applyBorder="1" applyAlignment="1">
      <alignment horizontal="right" vertical="center" wrapText="1"/>
    </xf>
    <xf numFmtId="172" fontId="26" fillId="21" borderId="29" xfId="0" applyNumberFormat="1" applyFont="1" applyFill="1" applyBorder="1" applyAlignment="1">
      <alignment horizontal="right" vertical="center" wrapText="1"/>
    </xf>
    <xf numFmtId="3" fontId="11" fillId="21" borderId="29" xfId="0" applyNumberFormat="1" applyFont="1" applyFill="1" applyBorder="1" applyAlignment="1">
      <alignment horizontal="right" vertical="center" wrapText="1"/>
    </xf>
    <xf numFmtId="172" fontId="11" fillId="23" borderId="31" xfId="0" applyNumberFormat="1" applyFont="1" applyFill="1" applyBorder="1" applyAlignment="1">
      <alignment horizontal="right" vertical="center" wrapText="1"/>
    </xf>
    <xf numFmtId="3" fontId="27" fillId="22" borderId="30" xfId="0" applyNumberFormat="1" applyFont="1" applyFill="1" applyBorder="1" applyAlignment="1">
      <alignment horizontal="right" vertical="center" wrapText="1"/>
    </xf>
    <xf numFmtId="3" fontId="5" fillId="24" borderId="32" xfId="0" applyNumberFormat="1" applyFont="1" applyFill="1" applyBorder="1" applyAlignment="1">
      <alignment horizontal="right" vertical="center" wrapText="1"/>
    </xf>
    <xf numFmtId="3" fontId="27" fillId="25" borderId="33" xfId="0" applyNumberFormat="1" applyFont="1" applyFill="1" applyBorder="1" applyAlignment="1">
      <alignment horizontal="right" vertical="center" wrapText="1"/>
    </xf>
    <xf numFmtId="3" fontId="5" fillId="23" borderId="31" xfId="0" applyNumberFormat="1" applyFont="1" applyFill="1" applyBorder="1" applyAlignment="1">
      <alignment horizontal="right" vertical="center" wrapText="1"/>
    </xf>
    <xf numFmtId="3" fontId="5" fillId="25" borderId="33" xfId="0" applyNumberFormat="1" applyFont="1" applyFill="1" applyBorder="1" applyAlignment="1">
      <alignment horizontal="right" vertical="center" wrapText="1"/>
    </xf>
    <xf numFmtId="3" fontId="5" fillId="21" borderId="29" xfId="0" applyNumberFormat="1" applyFont="1" applyFill="1" applyBorder="1" applyAlignment="1">
      <alignment horizontal="right" vertical="center" wrapText="1"/>
    </xf>
    <xf numFmtId="3" fontId="27" fillId="21" borderId="29" xfId="0" applyNumberFormat="1" applyFont="1" applyFill="1" applyBorder="1" applyAlignment="1">
      <alignment horizontal="right" vertical="center" wrapText="1"/>
    </xf>
    <xf numFmtId="3" fontId="27" fillId="23" borderId="31" xfId="0" applyNumberFormat="1" applyFont="1" applyFill="1" applyBorder="1" applyAlignment="1">
      <alignment horizontal="right" vertical="center" wrapText="1"/>
    </xf>
    <xf numFmtId="3" fontId="11" fillId="25" borderId="33" xfId="0" applyNumberFormat="1" applyFont="1" applyFill="1" applyBorder="1" applyAlignment="1">
      <alignment horizontal="right" vertical="center" wrapText="1"/>
    </xf>
    <xf numFmtId="3" fontId="11" fillId="23" borderId="31" xfId="0" applyNumberFormat="1" applyFont="1" applyFill="1" applyBorder="1" applyAlignment="1">
      <alignment horizontal="right" vertical="center" wrapText="1"/>
    </xf>
    <xf numFmtId="0" fontId="5" fillId="26" borderId="34" xfId="0" applyFont="1" applyFill="1" applyBorder="1" applyAlignment="1">
      <alignment horizontal="center" vertical="center" wrapText="1"/>
    </xf>
    <xf numFmtId="3" fontId="0" fillId="27" borderId="35" xfId="0" applyNumberFormat="1" applyFill="1" applyBorder="1" applyAlignment="1">
      <alignment horizontal="right" vertical="center" wrapText="1"/>
    </xf>
    <xf numFmtId="3" fontId="28" fillId="20" borderId="28" xfId="0" applyNumberFormat="1" applyFont="1" applyFill="1" applyBorder="1" applyAlignment="1">
      <alignment horizontal="right" vertical="center" wrapText="1"/>
    </xf>
    <xf numFmtId="172" fontId="28" fillId="20" borderId="28" xfId="0" applyNumberFormat="1" applyFont="1" applyFill="1" applyBorder="1" applyAlignment="1">
      <alignment horizontal="right" vertical="center" wrapText="1"/>
    </xf>
    <xf numFmtId="3" fontId="15" fillId="20" borderId="28" xfId="0" applyNumberFormat="1" applyFont="1" applyFill="1" applyBorder="1" applyAlignment="1">
      <alignment horizontal="right" vertical="center" wrapText="1"/>
    </xf>
    <xf numFmtId="172" fontId="15" fillId="28" borderId="36" xfId="0" applyNumberFormat="1" applyFont="1" applyFill="1" applyBorder="1" applyAlignment="1">
      <alignment horizontal="right" vertical="center" wrapText="1"/>
    </xf>
    <xf numFmtId="3" fontId="29" fillId="27" borderId="35" xfId="0" applyNumberFormat="1" applyFont="1" applyFill="1" applyBorder="1" applyAlignment="1">
      <alignment horizontal="right" vertical="center" wrapText="1"/>
    </xf>
    <xf numFmtId="3" fontId="0" fillId="29" borderId="37" xfId="0" applyNumberFormat="1" applyFill="1" applyBorder="1" applyAlignment="1">
      <alignment horizontal="right" vertical="center" wrapText="1"/>
    </xf>
    <xf numFmtId="3" fontId="29" fillId="30" borderId="38" xfId="0" applyNumberFormat="1" applyFont="1" applyFill="1" applyBorder="1" applyAlignment="1">
      <alignment horizontal="right" vertical="center" wrapText="1"/>
    </xf>
    <xf numFmtId="3" fontId="0" fillId="28" borderId="36" xfId="0" applyNumberFormat="1" applyFill="1" applyBorder="1" applyAlignment="1">
      <alignment horizontal="right" vertical="center" wrapText="1"/>
    </xf>
    <xf numFmtId="3" fontId="0" fillId="30" borderId="38" xfId="0" applyNumberFormat="1" applyFill="1" applyBorder="1" applyAlignment="1">
      <alignment horizontal="right" vertical="center" wrapText="1"/>
    </xf>
    <xf numFmtId="3" fontId="0" fillId="20" borderId="28" xfId="0" applyNumberFormat="1" applyFill="1" applyBorder="1" applyAlignment="1">
      <alignment horizontal="right" vertical="center" wrapText="1"/>
    </xf>
    <xf numFmtId="3" fontId="29" fillId="20" borderId="28" xfId="0" applyNumberFormat="1" applyFont="1" applyFill="1" applyBorder="1" applyAlignment="1">
      <alignment horizontal="right" vertical="center" wrapText="1"/>
    </xf>
    <xf numFmtId="3" fontId="29" fillId="28" borderId="36" xfId="0" applyNumberFormat="1" applyFont="1" applyFill="1" applyBorder="1" applyAlignment="1">
      <alignment horizontal="right" vertical="center" wrapText="1"/>
    </xf>
    <xf numFmtId="3" fontId="15" fillId="30" borderId="38" xfId="0" applyNumberFormat="1" applyFont="1" applyFill="1" applyBorder="1" applyAlignment="1">
      <alignment horizontal="right" vertical="center" wrapText="1"/>
    </xf>
    <xf numFmtId="3" fontId="15" fillId="28" borderId="36" xfId="0" applyNumberFormat="1" applyFont="1" applyFill="1" applyBorder="1" applyAlignment="1">
      <alignment horizontal="right" vertical="center" wrapText="1"/>
    </xf>
    <xf numFmtId="172" fontId="26" fillId="20" borderId="28" xfId="0" applyNumberFormat="1" applyFont="1" applyFill="1" applyBorder="1" applyAlignment="1">
      <alignment horizontal="right" vertical="center" wrapText="1"/>
    </xf>
    <xf numFmtId="172" fontId="11" fillId="28" borderId="36" xfId="0" applyNumberFormat="1" applyFont="1" applyFill="1" applyBorder="1" applyAlignment="1">
      <alignment horizontal="right" vertical="center" wrapText="1"/>
    </xf>
    <xf numFmtId="3" fontId="30" fillId="30" borderId="38" xfId="0" applyNumberFormat="1" applyFont="1" applyFill="1" applyBorder="1" applyAlignment="1">
      <alignment horizontal="right" vertical="center" wrapText="1"/>
    </xf>
    <xf numFmtId="3" fontId="30" fillId="20" borderId="28" xfId="0" applyNumberFormat="1" applyFont="1" applyFill="1" applyBorder="1" applyAlignment="1">
      <alignment horizontal="right" vertical="center" wrapText="1"/>
    </xf>
    <xf numFmtId="3" fontId="30" fillId="28" borderId="36" xfId="0" applyNumberFormat="1" applyFont="1" applyFill="1" applyBorder="1" applyAlignment="1">
      <alignment horizontal="right" vertical="center" wrapText="1"/>
    </xf>
    <xf numFmtId="3" fontId="0" fillId="31" borderId="39" xfId="0" applyNumberFormat="1" applyFill="1" applyBorder="1" applyAlignment="1">
      <alignment horizontal="right" vertical="center" wrapText="1"/>
    </xf>
    <xf numFmtId="3" fontId="0" fillId="32" borderId="40" xfId="0" applyNumberFormat="1" applyFill="1" applyBorder="1" applyAlignment="1">
      <alignment horizontal="right" vertical="center" wrapText="1"/>
    </xf>
    <xf numFmtId="3" fontId="0" fillId="33" borderId="41" xfId="0" applyNumberFormat="1" applyFill="1" applyBorder="1" applyAlignment="1">
      <alignment horizontal="right" vertical="center" wrapText="1"/>
    </xf>
    <xf numFmtId="3" fontId="29" fillId="31" borderId="39" xfId="0" applyNumberFormat="1" applyFont="1" applyFill="1" applyBorder="1" applyAlignment="1">
      <alignment horizontal="right" vertical="center" wrapText="1"/>
    </xf>
    <xf numFmtId="3" fontId="29" fillId="32" borderId="40" xfId="0" applyNumberFormat="1" applyFont="1" applyFill="1" applyBorder="1" applyAlignment="1">
      <alignment horizontal="right" vertical="center" wrapText="1"/>
    </xf>
    <xf numFmtId="3" fontId="29" fillId="33" borderId="41" xfId="0" applyNumberFormat="1" applyFont="1" applyFill="1" applyBorder="1" applyAlignment="1">
      <alignment horizontal="right" vertical="center" wrapText="1"/>
    </xf>
    <xf numFmtId="3" fontId="15" fillId="31" borderId="39" xfId="0" applyNumberFormat="1" applyFont="1" applyFill="1" applyBorder="1" applyAlignment="1">
      <alignment horizontal="right" vertical="center" wrapText="1"/>
    </xf>
    <xf numFmtId="3" fontId="15" fillId="32" borderId="40" xfId="0" applyNumberFormat="1" applyFont="1" applyFill="1" applyBorder="1" applyAlignment="1">
      <alignment horizontal="right" vertical="center" wrapText="1"/>
    </xf>
    <xf numFmtId="3" fontId="15" fillId="33" borderId="41" xfId="0" applyNumberFormat="1" applyFont="1" applyFill="1" applyBorder="1" applyAlignment="1">
      <alignment horizontal="right" vertical="center" wrapText="1"/>
    </xf>
    <xf numFmtId="3" fontId="30" fillId="31" borderId="39" xfId="0" applyNumberFormat="1" applyFont="1" applyFill="1" applyBorder="1" applyAlignment="1">
      <alignment horizontal="right" vertical="center" wrapText="1"/>
    </xf>
    <xf numFmtId="3" fontId="30" fillId="32" borderId="40" xfId="0" applyNumberFormat="1" applyFont="1" applyFill="1" applyBorder="1" applyAlignment="1">
      <alignment horizontal="right" vertical="center" wrapText="1"/>
    </xf>
    <xf numFmtId="3" fontId="30" fillId="33" borderId="41" xfId="0" applyNumberFormat="1" applyFont="1" applyFill="1" applyBorder="1" applyAlignment="1">
      <alignment horizontal="right" vertical="center" wrapText="1"/>
    </xf>
    <xf numFmtId="3" fontId="0" fillId="19" borderId="27" xfId="0" applyNumberFormat="1" applyFill="1" applyBorder="1" applyAlignment="1">
      <alignment horizontal="center" vertical="center" wrapText="1"/>
    </xf>
    <xf numFmtId="3" fontId="5" fillId="20" borderId="28" xfId="0" applyNumberFormat="1" applyFont="1" applyFill="1" applyBorder="1" applyAlignment="1">
      <alignment horizontal="center" vertical="center" wrapText="1"/>
    </xf>
    <xf numFmtId="3" fontId="0" fillId="34" borderId="42" xfId="0" applyNumberFormat="1" applyFill="1" applyBorder="1" applyAlignment="1">
      <alignment horizontal="right" vertical="center" wrapText="1"/>
    </xf>
    <xf numFmtId="3" fontId="0" fillId="35" borderId="43" xfId="0" applyNumberFormat="1" applyFill="1" applyBorder="1" applyAlignment="1">
      <alignment horizontal="right" vertical="center" wrapText="1"/>
    </xf>
    <xf numFmtId="3" fontId="0" fillId="36" borderId="44" xfId="0" applyNumberFormat="1" applyFill="1" applyBorder="1" applyAlignment="1">
      <alignment horizontal="right" vertical="center" wrapText="1"/>
    </xf>
    <xf numFmtId="3" fontId="29" fillId="34" borderId="42" xfId="0" applyNumberFormat="1" applyFont="1" applyFill="1" applyBorder="1" applyAlignment="1">
      <alignment horizontal="right" vertical="center" wrapText="1"/>
    </xf>
    <xf numFmtId="3" fontId="29" fillId="35" borderId="43" xfId="0" applyNumberFormat="1" applyFont="1" applyFill="1" applyBorder="1" applyAlignment="1">
      <alignment horizontal="right" vertical="center" wrapText="1"/>
    </xf>
    <xf numFmtId="3" fontId="29" fillId="36" borderId="44" xfId="0" applyNumberFormat="1" applyFont="1" applyFill="1" applyBorder="1" applyAlignment="1">
      <alignment horizontal="right" vertical="center" wrapText="1"/>
    </xf>
    <xf numFmtId="3" fontId="15" fillId="34" borderId="42" xfId="0" applyNumberFormat="1" applyFont="1" applyFill="1" applyBorder="1" applyAlignment="1">
      <alignment horizontal="right" vertical="center" wrapText="1"/>
    </xf>
    <xf numFmtId="3" fontId="15" fillId="35" borderId="43" xfId="0" applyNumberFormat="1" applyFont="1" applyFill="1" applyBorder="1" applyAlignment="1">
      <alignment horizontal="right" vertical="center" wrapText="1"/>
    </xf>
    <xf numFmtId="3" fontId="15" fillId="36" borderId="44" xfId="0" applyNumberFormat="1" applyFont="1" applyFill="1" applyBorder="1" applyAlignment="1">
      <alignment horizontal="right" vertical="center" wrapText="1"/>
    </xf>
    <xf numFmtId="0" fontId="0" fillId="21" borderId="29" xfId="0" applyFill="1" applyBorder="1" applyAlignment="1">
      <alignment horizontal="left" vertical="center" wrapText="1"/>
    </xf>
    <xf numFmtId="3" fontId="5" fillId="37" borderId="45" xfId="0" applyNumberFormat="1" applyFont="1" applyFill="1" applyBorder="1" applyAlignment="1">
      <alignment horizontal="right" vertical="center" wrapText="1"/>
    </xf>
    <xf numFmtId="3" fontId="5" fillId="38" borderId="46" xfId="0" applyNumberFormat="1" applyFont="1" applyFill="1" applyBorder="1" applyAlignment="1">
      <alignment horizontal="right" vertical="center" wrapText="1"/>
    </xf>
    <xf numFmtId="3" fontId="5" fillId="39" borderId="47" xfId="0" applyNumberFormat="1" applyFont="1" applyFill="1" applyBorder="1" applyAlignment="1">
      <alignment horizontal="right" vertical="center" wrapText="1"/>
    </xf>
    <xf numFmtId="3" fontId="27" fillId="37" borderId="45" xfId="0" applyNumberFormat="1" applyFont="1" applyFill="1" applyBorder="1" applyAlignment="1">
      <alignment horizontal="right" vertical="center" wrapText="1"/>
    </xf>
    <xf numFmtId="3" fontId="27" fillId="38" borderId="46" xfId="0" applyNumberFormat="1" applyFont="1" applyFill="1" applyBorder="1" applyAlignment="1">
      <alignment horizontal="right" vertical="center" wrapText="1"/>
    </xf>
    <xf numFmtId="3" fontId="27" fillId="39" borderId="47" xfId="0" applyNumberFormat="1" applyFont="1" applyFill="1" applyBorder="1" applyAlignment="1">
      <alignment horizontal="right" vertical="center" wrapText="1"/>
    </xf>
    <xf numFmtId="3" fontId="11" fillId="37" borderId="45" xfId="0" applyNumberFormat="1" applyFont="1" applyFill="1" applyBorder="1" applyAlignment="1">
      <alignment horizontal="right" vertical="center" wrapText="1"/>
    </xf>
    <xf numFmtId="3" fontId="11" fillId="38" borderId="46" xfId="0" applyNumberFormat="1" applyFont="1" applyFill="1" applyBorder="1" applyAlignment="1">
      <alignment horizontal="right" vertical="center" wrapText="1"/>
    </xf>
    <xf numFmtId="3" fontId="11" fillId="39" borderId="47" xfId="0" applyNumberFormat="1" applyFont="1" applyFill="1" applyBorder="1" applyAlignment="1">
      <alignment horizontal="right" vertical="center" wrapText="1"/>
    </xf>
    <xf numFmtId="3" fontId="26" fillId="20" borderId="28" xfId="0" applyNumberFormat="1" applyFont="1" applyFill="1" applyBorder="1" applyAlignment="1">
      <alignment horizontal="right" vertical="center" wrapText="1"/>
    </xf>
    <xf numFmtId="3" fontId="11" fillId="20" borderId="28" xfId="0" applyNumberFormat="1" applyFont="1" applyFill="1" applyBorder="1" applyAlignment="1">
      <alignment horizontal="right" vertical="center" wrapText="1"/>
    </xf>
    <xf numFmtId="0" fontId="5" fillId="40" borderId="48" xfId="0" applyFont="1" applyFill="1" applyBorder="1" applyAlignment="1">
      <alignment horizontal="center" vertical="center" wrapText="1"/>
    </xf>
    <xf numFmtId="0" fontId="0" fillId="41" borderId="49" xfId="0" applyFill="1" applyBorder="1" applyAlignment="1">
      <alignment horizontal="center" vertical="center" wrapText="1"/>
    </xf>
    <xf numFmtId="3" fontId="0" fillId="42" borderId="50" xfId="0" applyNumberFormat="1" applyFill="1" applyBorder="1" applyAlignment="1">
      <alignment horizontal="center" vertical="center" wrapText="1"/>
    </xf>
    <xf numFmtId="3" fontId="31" fillId="43" borderId="51" xfId="0" applyNumberFormat="1" applyFont="1" applyFill="1" applyBorder="1" applyAlignment="1">
      <alignment horizontal="right" vertical="center" wrapText="1"/>
    </xf>
    <xf numFmtId="3" fontId="31" fillId="44" borderId="52" xfId="0" applyNumberFormat="1" applyFont="1" applyFill="1" applyBorder="1" applyAlignment="1">
      <alignment horizontal="right" vertical="center" wrapText="1"/>
    </xf>
    <xf numFmtId="172" fontId="31" fillId="44" borderId="52" xfId="0" applyNumberFormat="1" applyFont="1" applyFill="1" applyBorder="1" applyAlignment="1">
      <alignment horizontal="right" vertical="center" wrapText="1"/>
    </xf>
    <xf numFmtId="172" fontId="31" fillId="45" borderId="53" xfId="0" applyNumberFormat="1" applyFont="1" applyFill="1" applyBorder="1" applyAlignment="1">
      <alignment horizontal="right" vertical="center" wrapText="1"/>
    </xf>
    <xf numFmtId="3" fontId="31" fillId="46" borderId="54" xfId="0" applyNumberFormat="1" applyFont="1" applyFill="1" applyBorder="1" applyAlignment="1">
      <alignment horizontal="right" vertical="center" wrapText="1"/>
    </xf>
    <xf numFmtId="3" fontId="31" fillId="47" borderId="55" xfId="0" applyNumberFormat="1" applyFont="1" applyFill="1" applyBorder="1" applyAlignment="1">
      <alignment horizontal="right" vertical="center" wrapText="1"/>
    </xf>
    <xf numFmtId="3" fontId="31" fillId="45" borderId="53" xfId="0" applyNumberFormat="1" applyFont="1" applyFill="1" applyBorder="1" applyAlignment="1">
      <alignment horizontal="right" vertical="center" wrapText="1"/>
    </xf>
    <xf numFmtId="3" fontId="31" fillId="48" borderId="56" xfId="0" applyNumberFormat="1" applyFont="1" applyFill="1" applyBorder="1" applyAlignment="1">
      <alignment horizontal="right" vertical="center" wrapText="1"/>
    </xf>
    <xf numFmtId="3" fontId="31" fillId="49" borderId="57" xfId="0" applyNumberFormat="1" applyFont="1" applyFill="1" applyBorder="1" applyAlignment="1">
      <alignment horizontal="right" vertical="center" wrapText="1"/>
    </xf>
    <xf numFmtId="3" fontId="31" fillId="50" borderId="58" xfId="0" applyNumberFormat="1" applyFont="1" applyFill="1" applyBorder="1" applyAlignment="1">
      <alignment horizontal="right" vertical="center" wrapText="1"/>
    </xf>
    <xf numFmtId="3" fontId="5" fillId="17" borderId="24" xfId="0" applyNumberFormat="1" applyFont="1" applyFill="1" applyBorder="1" applyAlignment="1">
      <alignment horizontal="center" vertical="center" wrapText="1"/>
    </xf>
    <xf numFmtId="10" fontId="5" fillId="15" borderId="21" xfId="0" applyNumberFormat="1" applyFont="1" applyFill="1" applyBorder="1" applyAlignment="1">
      <alignment horizontal="center" vertical="center" wrapText="1"/>
    </xf>
    <xf numFmtId="10" fontId="11" fillId="15" borderId="21" xfId="0" applyNumberFormat="1" applyFont="1" applyFill="1" applyBorder="1" applyAlignment="1">
      <alignment horizontal="center" vertical="center" wrapText="1"/>
    </xf>
    <xf numFmtId="0" fontId="0" fillId="51" borderId="59" xfId="0" applyFill="1" applyBorder="1"/>
    <xf numFmtId="0" fontId="9" fillId="52" borderId="60" xfId="0" applyFont="1" applyFill="1" applyBorder="1" applyAlignment="1">
      <alignment horizontal="center" vertical="center" wrapText="1"/>
    </xf>
    <xf numFmtId="0" fontId="9" fillId="53" borderId="61" xfId="0" applyFont="1" applyFill="1" applyBorder="1" applyAlignment="1">
      <alignment horizontal="center" vertical="center" wrapText="1"/>
    </xf>
    <xf numFmtId="0" fontId="5" fillId="54" borderId="62" xfId="0" applyFont="1" applyFill="1" applyBorder="1" applyAlignment="1">
      <alignment horizontal="center" vertical="center" wrapText="1"/>
    </xf>
    <xf numFmtId="0" fontId="0" fillId="55" borderId="63" xfId="0" applyFill="1" applyBorder="1" applyAlignment="1">
      <alignment horizontal="center" vertical="center" wrapText="1"/>
    </xf>
    <xf numFmtId="3" fontId="5" fillId="56" borderId="64" xfId="0" applyNumberFormat="1" applyFont="1" applyFill="1" applyBorder="1" applyAlignment="1">
      <alignment horizontal="center" vertical="center" wrapText="1"/>
    </xf>
    <xf numFmtId="3" fontId="5" fillId="57" borderId="65" xfId="0" applyNumberFormat="1" applyFont="1" applyFill="1" applyBorder="1" applyAlignment="1">
      <alignment horizontal="center" vertical="center" wrapText="1"/>
    </xf>
    <xf numFmtId="3" fontId="0" fillId="58" borderId="66" xfId="0" applyNumberFormat="1" applyFill="1" applyBorder="1" applyAlignment="1">
      <alignment horizontal="left" vertical="center" wrapText="1"/>
    </xf>
    <xf numFmtId="3" fontId="0" fillId="59" borderId="67" xfId="0" applyNumberFormat="1" applyFill="1" applyBorder="1" applyAlignment="1">
      <alignment horizontal="left" vertical="center" wrapText="1"/>
    </xf>
    <xf numFmtId="3" fontId="5" fillId="60" borderId="68" xfId="0" applyNumberFormat="1" applyFont="1" applyFill="1" applyBorder="1" applyAlignment="1">
      <alignment horizontal="right" vertical="center" wrapText="1"/>
    </xf>
    <xf numFmtId="3" fontId="26" fillId="61" borderId="69" xfId="0" applyNumberFormat="1" applyFont="1" applyFill="1" applyBorder="1" applyAlignment="1">
      <alignment horizontal="right" vertical="center" wrapText="1"/>
    </xf>
    <xf numFmtId="172" fontId="26" fillId="61" borderId="69" xfId="0" applyNumberFormat="1" applyFont="1" applyFill="1" applyBorder="1" applyAlignment="1">
      <alignment horizontal="right" vertical="center" wrapText="1"/>
    </xf>
    <xf numFmtId="3" fontId="11" fillId="61" borderId="69" xfId="0" applyNumberFormat="1" applyFont="1" applyFill="1" applyBorder="1" applyAlignment="1">
      <alignment horizontal="right" vertical="center" wrapText="1"/>
    </xf>
    <xf numFmtId="172" fontId="11" fillId="62" borderId="70" xfId="0" applyNumberFormat="1" applyFont="1" applyFill="1" applyBorder="1" applyAlignment="1">
      <alignment horizontal="right" vertical="center" wrapText="1"/>
    </xf>
    <xf numFmtId="3" fontId="5" fillId="56" borderId="64" xfId="0" applyNumberFormat="1" applyFont="1" applyFill="1" applyBorder="1" applyAlignment="1">
      <alignment horizontal="right" vertical="center" wrapText="1"/>
    </xf>
    <xf numFmtId="172" fontId="11" fillId="57" borderId="65" xfId="0" applyNumberFormat="1" applyFont="1" applyFill="1" applyBorder="1" applyAlignment="1">
      <alignment horizontal="right" vertical="center" wrapText="1"/>
    </xf>
    <xf numFmtId="3" fontId="0" fillId="19" borderId="27" xfId="0" applyNumberFormat="1" applyFill="1" applyBorder="1" applyAlignment="1">
      <alignment horizontal="right" vertical="center" wrapText="1"/>
    </xf>
    <xf numFmtId="172" fontId="15" fillId="58" borderId="66" xfId="0" applyNumberFormat="1" applyFont="1" applyFill="1" applyBorder="1" applyAlignment="1">
      <alignment horizontal="right" vertical="center" wrapText="1"/>
    </xf>
    <xf numFmtId="172" fontId="11" fillId="58" borderId="66" xfId="0" applyNumberFormat="1" applyFont="1" applyFill="1" applyBorder="1" applyAlignment="1">
      <alignment horizontal="right" vertical="center" wrapText="1"/>
    </xf>
    <xf numFmtId="3" fontId="0" fillId="41" borderId="49" xfId="0" applyNumberFormat="1" applyFill="1" applyBorder="1" applyAlignment="1">
      <alignment horizontal="right" vertical="center" wrapText="1"/>
    </xf>
    <xf numFmtId="3" fontId="28" fillId="42" borderId="50" xfId="0" applyNumberFormat="1" applyFont="1" applyFill="1" applyBorder="1" applyAlignment="1">
      <alignment horizontal="right" vertical="center" wrapText="1"/>
    </xf>
    <xf numFmtId="172" fontId="26" fillId="42" borderId="50" xfId="0" applyNumberFormat="1" applyFont="1" applyFill="1" applyBorder="1" applyAlignment="1">
      <alignment horizontal="right" vertical="center" wrapText="1"/>
    </xf>
    <xf numFmtId="3" fontId="15" fillId="42" borderId="50" xfId="0" applyNumberFormat="1" applyFont="1" applyFill="1" applyBorder="1" applyAlignment="1">
      <alignment horizontal="right" vertical="center" wrapText="1"/>
    </xf>
    <xf numFmtId="172" fontId="11" fillId="59" borderId="67" xfId="0" applyNumberFormat="1" applyFont="1" applyFill="1" applyBorder="1" applyAlignment="1">
      <alignment horizontal="right" vertical="center" wrapText="1"/>
    </xf>
    <xf numFmtId="0" fontId="5" fillId="61" borderId="69" xfId="0" applyFont="1" applyFill="1" applyBorder="1" applyAlignment="1">
      <alignment horizontal="left" vertical="center" wrapText="1"/>
    </xf>
    <xf numFmtId="0" fontId="5" fillId="57" borderId="65" xfId="0" applyFont="1" applyFill="1" applyBorder="1" applyAlignment="1">
      <alignment horizontal="left" vertical="center" wrapText="1"/>
    </xf>
    <xf numFmtId="0" fontId="0" fillId="26" borderId="34" xfId="0" applyFill="1" applyBorder="1" applyAlignment="1">
      <alignment horizontal="left" vertical="center" wrapText="1"/>
    </xf>
    <xf numFmtId="0" fontId="0" fillId="63" borderId="71" xfId="0" applyFill="1" applyBorder="1" applyAlignment="1">
      <alignment horizontal="left" vertical="center" wrapText="1"/>
    </xf>
    <xf numFmtId="0" fontId="0" fillId="64" borderId="72" xfId="0" applyFill="1" applyBorder="1" applyAlignment="1">
      <alignment horizontal="left" vertical="center" wrapText="1"/>
    </xf>
    <xf numFmtId="3" fontId="0" fillId="65" borderId="73" xfId="0" applyNumberFormat="1" applyFill="1" applyBorder="1" applyAlignment="1">
      <alignment horizontal="center" vertical="center" wrapText="1"/>
    </xf>
    <xf numFmtId="10" fontId="15" fillId="65" borderId="73" xfId="1" applyNumberFormat="1" applyFont="1" applyFill="1" applyBorder="1" applyAlignment="1">
      <alignment horizontal="center" vertical="center" wrapText="1"/>
    </xf>
    <xf numFmtId="9" fontId="15" fillId="65" borderId="73" xfId="1" applyFont="1" applyFill="1" applyBorder="1" applyAlignment="1">
      <alignment horizontal="center" vertical="center" wrapText="1"/>
    </xf>
    <xf numFmtId="3" fontId="0" fillId="66" borderId="74" xfId="0" applyNumberFormat="1" applyFill="1" applyBorder="1" applyAlignment="1">
      <alignment horizontal="center" vertical="center" wrapText="1"/>
    </xf>
    <xf numFmtId="9" fontId="15" fillId="66" borderId="74" xfId="1" applyFont="1" applyFill="1" applyBorder="1" applyAlignment="1">
      <alignment horizontal="center" vertical="center" wrapText="1"/>
    </xf>
    <xf numFmtId="3" fontId="15" fillId="65" borderId="73" xfId="0" applyNumberFormat="1" applyFont="1" applyFill="1" applyBorder="1" applyAlignment="1">
      <alignment horizontal="center" vertical="center" wrapText="1"/>
    </xf>
    <xf numFmtId="3" fontId="0" fillId="0" borderId="75" xfId="0" applyNumberFormat="1" applyBorder="1" applyAlignment="1">
      <alignment horizontal="center" vertical="center" wrapText="1"/>
    </xf>
    <xf numFmtId="3" fontId="0" fillId="12" borderId="16" xfId="0" applyNumberFormat="1" applyFill="1" applyBorder="1" applyAlignment="1">
      <alignment horizontal="center" vertical="center" wrapText="1"/>
    </xf>
    <xf numFmtId="3" fontId="19" fillId="12" borderId="16" xfId="0" applyNumberFormat="1" applyFont="1" applyFill="1" applyBorder="1" applyAlignment="1">
      <alignment horizontal="center" vertical="center" wrapText="1"/>
    </xf>
    <xf numFmtId="3" fontId="5" fillId="67" borderId="76" xfId="0" applyNumberFormat="1" applyFont="1" applyFill="1" applyBorder="1" applyAlignment="1">
      <alignment horizontal="center" vertical="center" wrapText="1"/>
    </xf>
    <xf numFmtId="3" fontId="0" fillId="0" borderId="77" xfId="0" applyNumberFormat="1" applyBorder="1" applyAlignment="1">
      <alignment horizontal="center" vertical="center" wrapText="1"/>
    </xf>
    <xf numFmtId="3" fontId="5" fillId="68" borderId="78" xfId="0" applyNumberFormat="1" applyFont="1" applyFill="1" applyBorder="1" applyAlignment="1">
      <alignment horizontal="center" vertical="center" wrapText="1"/>
    </xf>
    <xf numFmtId="3" fontId="15" fillId="0" borderId="77" xfId="0" applyNumberFormat="1" applyFont="1" applyBorder="1" applyAlignment="1">
      <alignment horizontal="center" vertical="center" wrapText="1"/>
    </xf>
    <xf numFmtId="3" fontId="12" fillId="67" borderId="76" xfId="0" applyNumberFormat="1" applyFont="1" applyFill="1" applyBorder="1" applyAlignment="1">
      <alignment horizontal="center" vertical="center" wrapText="1"/>
    </xf>
    <xf numFmtId="3" fontId="13" fillId="69" borderId="79" xfId="0" applyNumberFormat="1" applyFont="1" applyFill="1" applyBorder="1" applyAlignment="1">
      <alignment horizontal="center" vertical="center"/>
    </xf>
    <xf numFmtId="3" fontId="13" fillId="70" borderId="80" xfId="0" applyNumberFormat="1" applyFont="1" applyFill="1" applyBorder="1" applyAlignment="1">
      <alignment horizontal="center" vertical="center"/>
    </xf>
    <xf numFmtId="3" fontId="0" fillId="0" borderId="23" xfId="0" applyNumberFormat="1" applyBorder="1" applyAlignment="1">
      <alignment horizontal="center" vertical="center" wrapText="1"/>
    </xf>
    <xf numFmtId="3" fontId="0" fillId="0" borderId="81" xfId="0" applyNumberFormat="1" applyBorder="1" applyAlignment="1">
      <alignment horizontal="center" vertical="center" wrapText="1"/>
    </xf>
    <xf numFmtId="3" fontId="5" fillId="0" borderId="13" xfId="0" applyNumberFormat="1" applyFont="1" applyBorder="1" applyAlignment="1">
      <alignment horizontal="left" vertical="center" wrapText="1"/>
    </xf>
    <xf numFmtId="3" fontId="0" fillId="0" borderId="13" xfId="0" applyNumberFormat="1" applyBorder="1" applyAlignment="1">
      <alignment horizontal="left" vertical="center" wrapText="1"/>
    </xf>
    <xf numFmtId="3" fontId="0" fillId="13" borderId="17" xfId="0" applyNumberFormat="1" applyFill="1" applyBorder="1" applyAlignment="1">
      <alignment horizontal="left" vertical="center" wrapText="1"/>
    </xf>
    <xf numFmtId="3" fontId="15" fillId="0" borderId="13" xfId="0" applyNumberFormat="1" applyFont="1" applyBorder="1" applyAlignment="1">
      <alignment horizontal="left" vertical="center" wrapText="1"/>
    </xf>
    <xf numFmtId="3" fontId="5" fillId="13" borderId="17" xfId="0" applyNumberFormat="1" applyFont="1" applyFill="1" applyBorder="1" applyAlignment="1">
      <alignment horizontal="left" vertical="center" wrapText="1"/>
    </xf>
    <xf numFmtId="3" fontId="11" fillId="0" borderId="13" xfId="0" applyNumberFormat="1" applyFont="1" applyBorder="1" applyAlignment="1">
      <alignment horizontal="left" vertical="center" wrapText="1"/>
    </xf>
    <xf numFmtId="0" fontId="25" fillId="13" borderId="17" xfId="0" applyFont="1" applyFill="1" applyBorder="1" applyAlignment="1">
      <alignment horizontal="center" vertical="center" wrapText="1"/>
    </xf>
    <xf numFmtId="3" fontId="0" fillId="0" borderId="14" xfId="0" applyNumberFormat="1" applyBorder="1" applyAlignment="1">
      <alignment horizontal="center" vertical="center" wrapText="1"/>
    </xf>
    <xf numFmtId="3" fontId="13" fillId="71" borderId="82" xfId="0" applyNumberFormat="1" applyFont="1" applyFill="1" applyBorder="1" applyAlignment="1">
      <alignment horizontal="center" vertical="center"/>
    </xf>
    <xf numFmtId="0" fontId="9" fillId="72" borderId="83" xfId="0" applyFont="1" applyFill="1" applyBorder="1" applyAlignment="1">
      <alignment horizontal="center" vertical="center" wrapText="1"/>
    </xf>
    <xf numFmtId="0" fontId="9" fillId="73" borderId="84" xfId="0" applyFont="1" applyFill="1" applyBorder="1" applyAlignment="1">
      <alignment horizontal="center" vertical="center" wrapText="1"/>
    </xf>
    <xf numFmtId="3" fontId="5" fillId="74" borderId="85" xfId="0" applyNumberFormat="1" applyFont="1" applyFill="1" applyBorder="1" applyAlignment="1">
      <alignment horizontal="center" vertical="center" wrapText="1"/>
    </xf>
    <xf numFmtId="9" fontId="11" fillId="14" borderId="18" xfId="1" applyFont="1" applyFill="1" applyBorder="1" applyAlignment="1">
      <alignment horizontal="center" vertical="center" wrapText="1"/>
    </xf>
    <xf numFmtId="9" fontId="11" fillId="67" borderId="76" xfId="1" applyFont="1" applyFill="1" applyBorder="1" applyAlignment="1">
      <alignment horizontal="center" vertical="center" wrapText="1"/>
    </xf>
    <xf numFmtId="3" fontId="5" fillId="75" borderId="86" xfId="0" applyNumberFormat="1" applyFont="1" applyFill="1" applyBorder="1" applyAlignment="1">
      <alignment horizontal="center" vertical="center" wrapText="1"/>
    </xf>
    <xf numFmtId="10" fontId="15" fillId="76" borderId="87" xfId="1" applyNumberFormat="1" applyFont="1" applyFill="1" applyBorder="1" applyAlignment="1">
      <alignment horizontal="center" vertical="center" wrapText="1"/>
    </xf>
    <xf numFmtId="9" fontId="15" fillId="76" borderId="87" xfId="1" applyFont="1" applyFill="1" applyBorder="1" applyAlignment="1">
      <alignment horizontal="center" vertical="center" wrapText="1"/>
    </xf>
    <xf numFmtId="3" fontId="5" fillId="77" borderId="88" xfId="0" applyNumberFormat="1" applyFont="1" applyFill="1" applyBorder="1" applyAlignment="1">
      <alignment horizontal="center" vertical="center" wrapText="1"/>
    </xf>
    <xf numFmtId="9" fontId="11" fillId="78" borderId="89" xfId="1" applyFont="1" applyFill="1" applyBorder="1" applyAlignment="1">
      <alignment horizontal="center" vertical="center" wrapText="1"/>
    </xf>
    <xf numFmtId="3" fontId="5" fillId="79" borderId="90" xfId="0" applyNumberFormat="1" applyFont="1" applyFill="1" applyBorder="1" applyAlignment="1">
      <alignment horizontal="center" vertical="center" wrapText="1"/>
    </xf>
    <xf numFmtId="9" fontId="15" fillId="80" borderId="91" xfId="1" applyFont="1" applyFill="1" applyBorder="1" applyAlignment="1">
      <alignment horizontal="center" vertical="center" wrapText="1"/>
    </xf>
    <xf numFmtId="3" fontId="16" fillId="81" borderId="92" xfId="0" applyNumberFormat="1" applyFont="1" applyFill="1" applyBorder="1" applyAlignment="1">
      <alignment horizontal="center" vertical="center" wrapText="1"/>
    </xf>
    <xf numFmtId="3" fontId="16" fillId="82" borderId="93" xfId="0" applyNumberFormat="1" applyFont="1" applyFill="1" applyBorder="1" applyAlignment="1">
      <alignment horizontal="center" vertical="center" wrapText="1"/>
    </xf>
    <xf numFmtId="3" fontId="5" fillId="0" borderId="13" xfId="0" applyNumberFormat="1" applyFont="1" applyBorder="1" applyAlignment="1">
      <alignment horizontal="center" vertical="center" wrapText="1"/>
    </xf>
    <xf numFmtId="3" fontId="0" fillId="83" borderId="94" xfId="0" applyNumberFormat="1" applyFill="1" applyBorder="1" applyAlignment="1">
      <alignment horizontal="center" vertical="center" wrapText="1"/>
    </xf>
    <xf numFmtId="10" fontId="17" fillId="69" borderId="79" xfId="1" applyNumberFormat="1" applyFont="1" applyFill="1" applyBorder="1" applyAlignment="1">
      <alignment horizontal="center" vertical="center" wrapText="1"/>
    </xf>
    <xf numFmtId="10" fontId="17" fillId="70" borderId="80" xfId="1" applyNumberFormat="1" applyFont="1" applyFill="1" applyBorder="1" applyAlignment="1">
      <alignment horizontal="center" vertical="center" wrapText="1"/>
    </xf>
    <xf numFmtId="3" fontId="5" fillId="58" borderId="66" xfId="0" applyNumberFormat="1" applyFont="1" applyFill="1" applyBorder="1" applyAlignment="1">
      <alignment horizontal="left" vertical="center" wrapText="1"/>
    </xf>
    <xf numFmtId="0" fontId="5" fillId="84" borderId="95" xfId="0" applyFont="1" applyFill="1" applyBorder="1" applyAlignment="1">
      <alignment horizontal="center" vertical="center" wrapText="1"/>
    </xf>
    <xf numFmtId="0" fontId="5" fillId="85" borderId="96" xfId="0" applyFont="1" applyFill="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0" fillId="86" borderId="100" xfId="0" applyFill="1" applyBorder="1" applyAlignment="1">
      <alignment horizontal="left" vertical="center" wrapText="1"/>
    </xf>
    <xf numFmtId="0" fontId="0" fillId="0" borderId="13" xfId="0" applyBorder="1" applyAlignment="1">
      <alignment horizontal="left" vertical="center" wrapText="1"/>
    </xf>
    <xf numFmtId="0" fontId="15" fillId="0" borderId="13" xfId="0" applyFont="1" applyBorder="1" applyAlignment="1">
      <alignment horizontal="left" vertical="center" wrapText="1"/>
    </xf>
    <xf numFmtId="0" fontId="5" fillId="87" borderId="101" xfId="0" applyFont="1" applyFill="1" applyBorder="1" applyAlignment="1">
      <alignment horizontal="center" vertical="center" wrapText="1"/>
    </xf>
    <xf numFmtId="3" fontId="5" fillId="61" borderId="69" xfId="0" applyNumberFormat="1" applyFont="1" applyFill="1" applyBorder="1" applyAlignment="1">
      <alignment horizontal="center" vertical="center" wrapText="1"/>
    </xf>
    <xf numFmtId="0" fontId="0" fillId="88" borderId="102" xfId="0" applyFill="1" applyBorder="1" applyAlignment="1">
      <alignment horizontal="center" vertical="center" wrapText="1"/>
    </xf>
    <xf numFmtId="3" fontId="0" fillId="89" borderId="103" xfId="0" applyNumberFormat="1" applyFill="1" applyBorder="1" applyAlignment="1">
      <alignment horizontal="center" vertical="center" wrapText="1"/>
    </xf>
    <xf numFmtId="3" fontId="0" fillId="90" borderId="104" xfId="0" applyNumberFormat="1" applyFill="1" applyBorder="1" applyAlignment="1">
      <alignment horizontal="left" vertical="center" wrapText="1"/>
    </xf>
    <xf numFmtId="3" fontId="0" fillId="41" borderId="49" xfId="0" applyNumberFormat="1" applyFill="1" applyBorder="1" applyAlignment="1">
      <alignment horizontal="center" vertical="center" wrapText="1"/>
    </xf>
    <xf numFmtId="3" fontId="5" fillId="91" borderId="105" xfId="0" applyNumberFormat="1" applyFont="1" applyFill="1" applyBorder="1" applyAlignment="1">
      <alignment horizontal="left" vertical="center" wrapText="1"/>
    </xf>
    <xf numFmtId="3" fontId="5" fillId="92" borderId="106" xfId="0" applyNumberFormat="1" applyFont="1" applyFill="1" applyBorder="1" applyAlignment="1">
      <alignment horizontal="left" vertical="center" wrapText="1"/>
    </xf>
    <xf numFmtId="3" fontId="5" fillId="93" borderId="107" xfId="0" applyNumberFormat="1" applyFont="1" applyFill="1" applyBorder="1" applyAlignment="1">
      <alignment horizontal="left" vertical="center" wrapText="1"/>
    </xf>
    <xf numFmtId="3" fontId="5" fillId="94" borderId="108" xfId="0" applyNumberFormat="1" applyFont="1" applyFill="1" applyBorder="1" applyAlignment="1">
      <alignment horizontal="left" vertical="center" wrapText="1"/>
    </xf>
    <xf numFmtId="0" fontId="0" fillId="95" borderId="109" xfId="0" applyFill="1" applyBorder="1" applyAlignment="1">
      <alignment horizontal="left" vertical="top" wrapText="1"/>
    </xf>
    <xf numFmtId="0" fontId="5" fillId="96" borderId="110" xfId="0" applyFont="1" applyFill="1" applyBorder="1" applyAlignment="1">
      <alignment horizontal="center" vertical="center" wrapText="1"/>
    </xf>
    <xf numFmtId="3" fontId="0" fillId="97" borderId="111" xfId="0" applyNumberFormat="1" applyFill="1" applyBorder="1" applyAlignment="1">
      <alignment horizontal="center" vertical="center" wrapText="1"/>
    </xf>
    <xf numFmtId="0" fontId="5" fillId="98" borderId="11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7" fillId="99" borderId="113" xfId="0" applyFont="1" applyFill="1" applyBorder="1" applyAlignment="1">
      <alignment horizontal="center" vertical="center" wrapText="1"/>
    </xf>
    <xf numFmtId="0" fontId="5" fillId="99" borderId="113" xfId="0" applyFont="1" applyFill="1" applyBorder="1" applyAlignment="1">
      <alignment horizontal="center" vertical="center" wrapText="1"/>
    </xf>
    <xf numFmtId="0" fontId="5" fillId="100" borderId="114" xfId="0" applyFont="1" applyFill="1" applyBorder="1" applyAlignment="1">
      <alignment horizontal="center" vertical="center" wrapText="1"/>
    </xf>
    <xf numFmtId="0" fontId="0" fillId="0" borderId="12" xfId="0" applyBorder="1" applyAlignment="1">
      <alignment horizontal="center" vertical="center" wrapText="1"/>
    </xf>
    <xf numFmtId="0" fontId="5" fillId="5" borderId="4" xfId="0" applyFont="1" applyFill="1" applyBorder="1" applyAlignment="1">
      <alignment horizontal="center" vertical="center" wrapText="1"/>
    </xf>
    <xf numFmtId="0" fontId="5" fillId="101" borderId="115" xfId="0" applyFont="1" applyFill="1" applyBorder="1" applyAlignment="1">
      <alignment horizontal="center" vertical="center" wrapText="1"/>
    </xf>
    <xf numFmtId="0" fontId="5" fillId="102" borderId="11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0" fillId="0" borderId="117" xfId="0" applyBorder="1" applyAlignment="1">
      <alignment horizontal="center" vertical="center" wrapText="1"/>
    </xf>
    <xf numFmtId="3" fontId="0" fillId="7" borderId="6" xfId="0" applyNumberFormat="1" applyFill="1" applyBorder="1" applyAlignment="1">
      <alignment horizontal="center" vertical="center" wrapText="1"/>
    </xf>
    <xf numFmtId="3" fontId="0" fillId="0" borderId="117" xfId="0" applyNumberFormat="1" applyBorder="1" applyAlignment="1">
      <alignment horizontal="center" vertical="center" wrapText="1"/>
    </xf>
    <xf numFmtId="3" fontId="0" fillId="0" borderId="26" xfId="0" applyNumberFormat="1" applyBorder="1" applyAlignment="1">
      <alignment horizontal="center" vertical="center" wrapText="1"/>
    </xf>
    <xf numFmtId="0" fontId="0" fillId="0" borderId="26" xfId="0" applyBorder="1" applyAlignment="1">
      <alignment horizontal="center" vertical="center" wrapText="1"/>
    </xf>
    <xf numFmtId="3" fontId="0" fillId="4" borderId="3" xfId="0" applyNumberFormat="1" applyFill="1" applyBorder="1" applyAlignment="1">
      <alignment horizontal="center" vertical="center" wrapText="1"/>
    </xf>
    <xf numFmtId="3" fontId="0" fillId="0" borderId="8" xfId="0" applyNumberFormat="1" applyBorder="1" applyAlignment="1">
      <alignment horizontal="center" vertical="center" wrapText="1"/>
    </xf>
    <xf numFmtId="0" fontId="5" fillId="8" borderId="7" xfId="0" applyFont="1" applyFill="1" applyBorder="1" applyAlignment="1">
      <alignment horizontal="center" vertical="center" wrapText="1"/>
    </xf>
    <xf numFmtId="0" fontId="0" fillId="0" borderId="20" xfId="0" applyBorder="1" applyAlignment="1">
      <alignment horizontal="center" vertical="center" wrapText="1"/>
    </xf>
    <xf numFmtId="0" fontId="1" fillId="98" borderId="1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99" borderId="113" xfId="0" applyFont="1" applyFill="1" applyBorder="1" applyAlignment="1">
      <alignment horizontal="center" vertical="center" wrapText="1"/>
    </xf>
    <xf numFmtId="0" fontId="1" fillId="99" borderId="11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100" borderId="114" xfId="0" applyFont="1" applyFill="1" applyBorder="1" applyAlignment="1">
      <alignment horizontal="center" vertical="center" wrapText="1"/>
    </xf>
    <xf numFmtId="0" fontId="1" fillId="101" borderId="115" xfId="0" applyFont="1" applyFill="1" applyBorder="1" applyAlignment="1">
      <alignment horizontal="center" vertical="center" wrapText="1"/>
    </xf>
    <xf numFmtId="0" fontId="1" fillId="102" borderId="11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2" fillId="103" borderId="118" xfId="0" applyFont="1" applyFill="1" applyBorder="1" applyAlignment="1">
      <alignment horizontal="left" vertical="center" wrapText="1"/>
    </xf>
    <xf numFmtId="0" fontId="32" fillId="104" borderId="119" xfId="0" applyFont="1" applyFill="1" applyBorder="1" applyAlignment="1">
      <alignment horizontal="left" vertical="center" wrapText="1"/>
    </xf>
    <xf numFmtId="0" fontId="32" fillId="105" borderId="120" xfId="0" applyFont="1" applyFill="1" applyBorder="1" applyAlignment="1">
      <alignment horizontal="left" vertical="center" wrapText="1"/>
    </xf>
    <xf numFmtId="0" fontId="32" fillId="106" borderId="121" xfId="0" applyFont="1" applyFill="1" applyBorder="1" applyAlignment="1">
      <alignment horizontal="left" vertical="center" wrapText="1"/>
    </xf>
    <xf numFmtId="0" fontId="32" fillId="107" borderId="122" xfId="0" applyFont="1" applyFill="1" applyBorder="1" applyAlignment="1">
      <alignment horizontal="left" vertical="center" wrapText="1"/>
    </xf>
    <xf numFmtId="0" fontId="9" fillId="108" borderId="123" xfId="0" applyFont="1" applyFill="1" applyBorder="1" applyAlignment="1">
      <alignment horizontal="center" vertical="center" wrapText="1"/>
    </xf>
    <xf numFmtId="0" fontId="9" fillId="109" borderId="124" xfId="0" applyFont="1" applyFill="1" applyBorder="1" applyAlignment="1">
      <alignment horizontal="center" vertical="center" wrapText="1"/>
    </xf>
    <xf numFmtId="0" fontId="14" fillId="110" borderId="125" xfId="0" applyFont="1" applyFill="1" applyBorder="1" applyAlignment="1">
      <alignment horizontal="center" vertical="center" wrapText="1"/>
    </xf>
    <xf numFmtId="0" fontId="14" fillId="111" borderId="126" xfId="0" applyFont="1" applyFill="1" applyBorder="1" applyAlignment="1">
      <alignment horizontal="center" vertical="center" wrapText="1"/>
    </xf>
    <xf numFmtId="0" fontId="0" fillId="112" borderId="127" xfId="0" applyFill="1" applyBorder="1" applyAlignment="1">
      <alignment horizontal="center" vertical="center" wrapText="1"/>
    </xf>
    <xf numFmtId="0" fontId="20" fillId="111" borderId="126" xfId="0" applyFont="1" applyFill="1" applyBorder="1" applyAlignment="1">
      <alignment horizontal="center" vertical="center" wrapText="1"/>
    </xf>
    <xf numFmtId="0" fontId="21" fillId="111" borderId="126" xfId="0" applyFont="1" applyFill="1" applyBorder="1" applyAlignment="1">
      <alignment horizontal="center" vertical="center" wrapText="1"/>
    </xf>
    <xf numFmtId="0" fontId="21" fillId="112" borderId="127" xfId="0" applyFont="1" applyFill="1" applyBorder="1" applyAlignment="1">
      <alignment horizontal="center" vertical="center" wrapText="1"/>
    </xf>
    <xf numFmtId="0" fontId="20" fillId="106" borderId="121" xfId="0" applyFont="1" applyFill="1" applyBorder="1" applyAlignment="1">
      <alignment horizontal="center" vertical="center" wrapText="1"/>
    </xf>
    <xf numFmtId="0" fontId="23" fillId="113" borderId="128" xfId="0" applyFont="1" applyFill="1" applyBorder="1" applyAlignment="1">
      <alignment horizontal="center" vertical="center" wrapText="1"/>
    </xf>
    <xf numFmtId="0" fontId="24" fillId="113" borderId="128" xfId="0" applyFont="1" applyFill="1" applyBorder="1" applyAlignment="1">
      <alignment horizontal="center" vertical="center" wrapText="1"/>
    </xf>
    <xf numFmtId="0" fontId="23" fillId="109" borderId="124" xfId="0" applyFont="1" applyFill="1" applyBorder="1" applyAlignment="1">
      <alignment horizontal="center" vertical="center" wrapText="1"/>
    </xf>
    <xf numFmtId="0" fontId="24" fillId="109" borderId="124" xfId="0" applyFont="1" applyFill="1" applyBorder="1" applyAlignment="1">
      <alignment horizontal="center" vertical="center" wrapText="1"/>
    </xf>
    <xf numFmtId="0" fontId="9" fillId="52" borderId="60" xfId="0" applyFont="1" applyFill="1" applyBorder="1" applyAlignment="1">
      <alignment horizontal="center" vertical="center" wrapText="1"/>
    </xf>
    <xf numFmtId="0" fontId="9" fillId="114" borderId="129" xfId="0" applyFont="1" applyFill="1" applyBorder="1" applyAlignment="1">
      <alignment horizontal="center" vertical="center" wrapText="1"/>
    </xf>
    <xf numFmtId="0" fontId="9" fillId="53" borderId="61" xfId="0" applyFont="1" applyFill="1" applyBorder="1" applyAlignment="1">
      <alignment horizontal="center" vertical="center" wrapText="1"/>
    </xf>
    <xf numFmtId="0" fontId="10" fillId="52" borderId="60" xfId="0" applyFont="1" applyFill="1" applyBorder="1" applyAlignment="1">
      <alignment horizontal="center" vertical="center" wrapText="1"/>
    </xf>
    <xf numFmtId="0" fontId="10" fillId="114" borderId="129" xfId="0" applyFont="1" applyFill="1" applyBorder="1" applyAlignment="1">
      <alignment horizontal="center" vertical="center" wrapText="1"/>
    </xf>
    <xf numFmtId="0" fontId="10" fillId="53" borderId="61" xfId="0" applyFont="1" applyFill="1" applyBorder="1" applyAlignment="1">
      <alignment horizontal="center" vertical="center" wrapText="1"/>
    </xf>
    <xf numFmtId="0" fontId="9" fillId="103" borderId="118" xfId="0" applyFont="1" applyFill="1" applyBorder="1" applyAlignment="1">
      <alignment horizontal="center" vertical="center" wrapText="1"/>
    </xf>
    <xf numFmtId="0" fontId="9" fillId="115" borderId="130" xfId="0" applyFont="1" applyFill="1" applyBorder="1" applyAlignment="1">
      <alignment horizontal="center" vertical="center" wrapText="1"/>
    </xf>
    <xf numFmtId="0" fontId="9" fillId="105" borderId="120" xfId="0" applyFont="1" applyFill="1" applyBorder="1" applyAlignment="1">
      <alignment horizontal="center" vertical="center" wrapText="1"/>
    </xf>
    <xf numFmtId="0" fontId="9" fillId="116" borderId="131" xfId="0" applyFont="1" applyFill="1" applyBorder="1" applyAlignment="1">
      <alignment horizontal="center" vertical="center" wrapText="1"/>
    </xf>
    <xf numFmtId="0" fontId="9" fillId="117" borderId="132" xfId="0" applyFont="1" applyFill="1" applyBorder="1" applyAlignment="1">
      <alignment horizontal="center" vertical="center" wrapText="1"/>
    </xf>
    <xf numFmtId="0" fontId="9" fillId="118" borderId="133" xfId="0" applyFont="1" applyFill="1" applyBorder="1" applyAlignment="1">
      <alignment horizontal="center" vertical="center" wrapText="1"/>
    </xf>
    <xf numFmtId="0" fontId="9" fillId="104" borderId="119" xfId="0" applyFont="1" applyFill="1" applyBorder="1" applyAlignment="1">
      <alignment horizontal="center" vertical="center" wrapText="1"/>
    </xf>
    <xf numFmtId="0" fontId="9" fillId="106" borderId="121" xfId="0" applyFont="1" applyFill="1" applyBorder="1" applyAlignment="1">
      <alignment horizontal="center" vertical="center" wrapText="1"/>
    </xf>
    <xf numFmtId="0" fontId="9" fillId="72" borderId="83" xfId="0" applyFont="1" applyFill="1" applyBorder="1" applyAlignment="1">
      <alignment horizontal="center" vertical="center" wrapText="1"/>
    </xf>
    <xf numFmtId="0" fontId="9" fillId="73" borderId="84" xfId="0" applyFont="1" applyFill="1" applyBorder="1" applyAlignment="1">
      <alignment horizontal="center" vertical="center" wrapText="1"/>
    </xf>
    <xf numFmtId="0" fontId="9" fillId="107" borderId="122" xfId="0" applyFont="1" applyFill="1" applyBorder="1" applyAlignment="1">
      <alignment horizontal="center" vertical="center" wrapText="1"/>
    </xf>
    <xf numFmtId="0" fontId="9" fillId="119" borderId="134" xfId="0" applyFont="1" applyFill="1" applyBorder="1" applyAlignment="1">
      <alignment horizontal="center" vertical="center" wrapText="1"/>
    </xf>
    <xf numFmtId="0" fontId="9" fillId="120" borderId="135" xfId="0" applyFont="1" applyFill="1" applyBorder="1" applyAlignment="1">
      <alignment horizontal="center" vertical="center" wrapText="1"/>
    </xf>
    <xf numFmtId="10" fontId="5" fillId="126" borderId="141" xfId="0" applyNumberFormat="1" applyFont="1" applyFill="1" applyBorder="1" applyAlignment="1">
      <alignment horizontal="center" vertical="center" wrapText="1"/>
    </xf>
    <xf numFmtId="0" fontId="5" fillId="127" borderId="142" xfId="0" applyFont="1" applyFill="1" applyBorder="1" applyAlignment="1">
      <alignment horizontal="center" vertical="center" wrapText="1"/>
    </xf>
    <xf numFmtId="0" fontId="5" fillId="128" borderId="143" xfId="0" applyFont="1" applyFill="1" applyBorder="1" applyAlignment="1">
      <alignment horizontal="center" vertical="center" wrapText="1"/>
    </xf>
    <xf numFmtId="0" fontId="5" fillId="129" borderId="144" xfId="0" applyFont="1" applyFill="1" applyBorder="1" applyAlignment="1">
      <alignment horizontal="center" vertical="center" wrapText="1"/>
    </xf>
    <xf numFmtId="0" fontId="5" fillId="7" borderId="6" xfId="0" applyFont="1" applyFill="1" applyBorder="1" applyAlignment="1">
      <alignment horizontal="left" vertical="top" wrapText="1"/>
    </xf>
    <xf numFmtId="0" fontId="5" fillId="7" borderId="6" xfId="0" applyFont="1" applyFill="1" applyBorder="1" applyAlignment="1">
      <alignment horizontal="center" vertical="top" wrapText="1"/>
    </xf>
    <xf numFmtId="0" fontId="5" fillId="130" borderId="145" xfId="0" applyFont="1" applyFill="1" applyBorder="1" applyAlignment="1">
      <alignment horizontal="center" vertical="top" wrapText="1"/>
    </xf>
    <xf numFmtId="0" fontId="5" fillId="131" borderId="146" xfId="0" applyFont="1" applyFill="1" applyBorder="1" applyAlignment="1">
      <alignment horizontal="center" vertical="top" wrapText="1"/>
    </xf>
    <xf numFmtId="0" fontId="5" fillId="83" borderId="94" xfId="0" applyFont="1" applyFill="1" applyBorder="1" applyAlignment="1">
      <alignment horizontal="left" vertical="center" wrapText="1"/>
    </xf>
    <xf numFmtId="0" fontId="5" fillId="132" borderId="147" xfId="0" applyFont="1" applyFill="1" applyBorder="1" applyAlignment="1">
      <alignment horizontal="left" vertical="center" wrapText="1"/>
    </xf>
    <xf numFmtId="0" fontId="5" fillId="133" borderId="148" xfId="0" applyFont="1" applyFill="1" applyBorder="1" applyAlignment="1">
      <alignment horizontal="left" vertical="center" wrapText="1"/>
    </xf>
    <xf numFmtId="0" fontId="5" fillId="0" borderId="23" xfId="0" applyFont="1" applyBorder="1" applyAlignment="1">
      <alignment horizontal="left" vertical="top" wrapText="1"/>
    </xf>
    <xf numFmtId="0" fontId="5" fillId="0" borderId="26" xfId="0" applyFont="1" applyBorder="1" applyAlignment="1">
      <alignment horizontal="left" vertical="top" wrapText="1"/>
    </xf>
    <xf numFmtId="0" fontId="5" fillId="131" borderId="146" xfId="0" applyFont="1" applyFill="1" applyBorder="1" applyAlignment="1">
      <alignment horizontal="left" vertical="top" wrapText="1"/>
    </xf>
    <xf numFmtId="0" fontId="0" fillId="7" borderId="6" xfId="0" applyFill="1" applyBorder="1" applyAlignment="1">
      <alignment horizontal="left" vertical="top" wrapText="1"/>
    </xf>
    <xf numFmtId="0" fontId="0" fillId="131" borderId="146" xfId="0" applyFill="1" applyBorder="1" applyAlignment="1">
      <alignment horizontal="left" vertical="top" wrapText="1"/>
    </xf>
    <xf numFmtId="0" fontId="5" fillId="121" borderId="136" xfId="0" applyFont="1" applyFill="1" applyBorder="1" applyAlignment="1">
      <alignment horizontal="left" vertical="center" wrapText="1"/>
    </xf>
    <xf numFmtId="0" fontId="5" fillId="122" borderId="137" xfId="0" applyFont="1" applyFill="1" applyBorder="1" applyAlignment="1">
      <alignment horizontal="left" vertical="center" wrapText="1"/>
    </xf>
    <xf numFmtId="0" fontId="5" fillId="123" borderId="138" xfId="0" applyFont="1" applyFill="1" applyBorder="1" applyAlignment="1">
      <alignment horizontal="left" vertical="center" wrapText="1"/>
    </xf>
    <xf numFmtId="0" fontId="5" fillId="8" borderId="7" xfId="0" applyFont="1" applyFill="1" applyBorder="1" applyAlignment="1">
      <alignment horizontal="left" vertical="top" wrapText="1"/>
    </xf>
    <xf numFmtId="0" fontId="5" fillId="124" borderId="139" xfId="0" applyFont="1" applyFill="1" applyBorder="1" applyAlignment="1">
      <alignment horizontal="left" vertical="top" wrapText="1"/>
    </xf>
    <xf numFmtId="0" fontId="5" fillId="125" borderId="140" xfId="0" applyFont="1" applyFill="1" applyBorder="1" applyAlignment="1">
      <alignment horizontal="left" vertical="top" wrapText="1"/>
    </xf>
    <xf numFmtId="0" fontId="9" fillId="134" borderId="149" xfId="0" applyFont="1" applyFill="1" applyBorder="1" applyAlignment="1">
      <alignment horizontal="center" vertical="center" wrapText="1"/>
    </xf>
    <xf numFmtId="0" fontId="9" fillId="135" borderId="150" xfId="0" applyFont="1" applyFill="1" applyBorder="1" applyAlignment="1">
      <alignment horizontal="center" vertical="center" wrapText="1"/>
    </xf>
    <xf numFmtId="0" fontId="9" fillId="136" borderId="151" xfId="0" applyFont="1" applyFill="1" applyBorder="1" applyAlignment="1">
      <alignment horizontal="center" vertical="center" wrapText="1"/>
    </xf>
    <xf numFmtId="0" fontId="9" fillId="137" borderId="152" xfId="0" applyFont="1" applyFill="1" applyBorder="1" applyAlignment="1">
      <alignment horizontal="center" vertical="center" wrapText="1"/>
    </xf>
    <xf numFmtId="0" fontId="9" fillId="138" borderId="153" xfId="0" applyFont="1" applyFill="1" applyBorder="1" applyAlignment="1">
      <alignment horizontal="center" vertical="center" wrapText="1"/>
    </xf>
    <xf numFmtId="0" fontId="9" fillId="139" borderId="154" xfId="0" applyFont="1" applyFill="1" applyBorder="1" applyAlignment="1">
      <alignment horizontal="center" vertical="center" wrapText="1"/>
    </xf>
    <xf numFmtId="0" fontId="9" fillId="140" borderId="155" xfId="0" applyFont="1" applyFill="1" applyBorder="1" applyAlignment="1">
      <alignment horizontal="center" vertical="center" wrapText="1"/>
    </xf>
    <xf numFmtId="0" fontId="9" fillId="141" borderId="156" xfId="0" applyFont="1" applyFill="1" applyBorder="1" applyAlignment="1">
      <alignment horizontal="center" vertical="center" wrapText="1"/>
    </xf>
    <xf numFmtId="0" fontId="9" fillId="142" borderId="157" xfId="0" applyFont="1" applyFill="1" applyBorder="1" applyAlignment="1">
      <alignment horizontal="center" vertical="center" wrapText="1"/>
    </xf>
    <xf numFmtId="0" fontId="9" fillId="143" borderId="158" xfId="0" applyFont="1" applyFill="1" applyBorder="1" applyAlignment="1">
      <alignment horizontal="center" vertical="center" wrapText="1"/>
    </xf>
    <xf numFmtId="0" fontId="9" fillId="144" borderId="159" xfId="0" applyFont="1" applyFill="1" applyBorder="1" applyAlignment="1">
      <alignment horizontal="center" vertical="center" wrapText="1"/>
    </xf>
    <xf numFmtId="0" fontId="9" fillId="145" borderId="160" xfId="0" applyFont="1" applyFill="1" applyBorder="1" applyAlignment="1">
      <alignment horizontal="center" vertical="center" wrapText="1"/>
    </xf>
    <xf numFmtId="0" fontId="9" fillId="146" borderId="161" xfId="0" applyFont="1" applyFill="1" applyBorder="1" applyAlignment="1">
      <alignment horizontal="center" vertical="center" wrapText="1"/>
    </xf>
    <xf numFmtId="0" fontId="9" fillId="147" borderId="162" xfId="0" applyFont="1" applyFill="1" applyBorder="1" applyAlignment="1">
      <alignment horizontal="center" vertical="center" wrapText="1"/>
    </xf>
    <xf numFmtId="0" fontId="9" fillId="148" borderId="163" xfId="0" applyFont="1" applyFill="1" applyBorder="1" applyAlignment="1">
      <alignment horizontal="center" vertical="center" wrapText="1"/>
    </xf>
    <xf numFmtId="0" fontId="9" fillId="149" borderId="164" xfId="0" applyFont="1" applyFill="1" applyBorder="1" applyAlignment="1">
      <alignment horizontal="center" vertical="center" wrapText="1"/>
    </xf>
    <xf numFmtId="0" fontId="9" fillId="150" borderId="165" xfId="0" applyFont="1" applyFill="1" applyBorder="1" applyAlignment="1">
      <alignment horizontal="center" vertical="center" wrapText="1"/>
    </xf>
    <xf numFmtId="0" fontId="9" fillId="151" borderId="166" xfId="0" applyFont="1" applyFill="1" applyBorder="1" applyAlignment="1">
      <alignment horizontal="center" vertical="center" textRotation="180" wrapText="1"/>
      <extLst>
        <ext uri="smNativeData">
          <pm:cellMargin xmlns:pm="smNativeData" id="1698359497" l="0" r="0" t="0" b="0" textRotation="1"/>
        </ext>
      </extLst>
    </xf>
    <xf numFmtId="0" fontId="10" fillId="152" borderId="167" xfId="0" applyFont="1" applyFill="1" applyBorder="1" applyAlignment="1">
      <alignment horizontal="center" vertical="center" textRotation="180" wrapText="1"/>
      <extLst>
        <ext uri="smNativeData">
          <pm:cellMargin xmlns:pm="smNativeData" id="1698359497" l="0" r="0" t="0" b="0" textRotation="1"/>
        </ext>
      </extLst>
    </xf>
    <xf numFmtId="0" fontId="9" fillId="153" borderId="168" xfId="0" applyFont="1" applyFill="1" applyBorder="1" applyAlignment="1">
      <alignment horizontal="center" vertical="center" wrapText="1"/>
    </xf>
    <xf numFmtId="3" fontId="5" fillId="153" borderId="168" xfId="0" applyNumberFormat="1" applyFont="1" applyFill="1" applyBorder="1" applyAlignment="1">
      <alignment horizontal="right" vertical="center" wrapText="1"/>
    </xf>
    <xf numFmtId="3" fontId="0" fillId="153" borderId="168" xfId="0" applyNumberFormat="1" applyFill="1" applyBorder="1" applyAlignment="1">
      <alignment horizontal="right" vertical="center" wrapText="1"/>
    </xf>
    <xf numFmtId="3" fontId="31" fillId="153" borderId="168" xfId="0" applyNumberFormat="1" applyFont="1" applyFill="1" applyBorder="1" applyAlignment="1">
      <alignment horizontal="right" vertical="center" wrapText="1"/>
    </xf>
    <xf numFmtId="0" fontId="9" fillId="154" borderId="169" xfId="0" applyFont="1" applyFill="1" applyBorder="1" applyAlignment="1">
      <alignment horizontal="center" vertical="center" wrapText="1"/>
    </xf>
    <xf numFmtId="0" fontId="0" fillId="155" borderId="170" xfId="0" applyFill="1" applyBorder="1" applyAlignment="1">
      <alignment vertical="center" wrapText="1"/>
    </xf>
    <xf numFmtId="0" fontId="5" fillId="154" borderId="169" xfId="0" applyFont="1" applyFill="1" applyBorder="1" applyAlignment="1">
      <alignment horizontal="center" vertical="center" wrapText="1"/>
    </xf>
    <xf numFmtId="0" fontId="9" fillId="155" borderId="170" xfId="0" applyFont="1" applyFill="1" applyBorder="1" applyAlignment="1">
      <alignment horizontal="center" vertical="center" wrapText="1"/>
    </xf>
    <xf numFmtId="0" fontId="9" fillId="156" borderId="171" xfId="0" applyFont="1" applyFill="1" applyBorder="1" applyAlignment="1">
      <alignment horizontal="center" vertical="center" wrapText="1"/>
    </xf>
    <xf numFmtId="0" fontId="9" fillId="157" borderId="172" xfId="0" applyFont="1" applyFill="1" applyBorder="1" applyAlignment="1">
      <alignment horizontal="center" vertical="center" wrapText="1"/>
    </xf>
    <xf numFmtId="0" fontId="9" fillId="158" borderId="173" xfId="0" applyFont="1" applyFill="1" applyBorder="1" applyAlignment="1">
      <alignment horizontal="center" vertical="center" wrapText="1"/>
    </xf>
    <xf numFmtId="0" fontId="9" fillId="159" borderId="174" xfId="0" applyFont="1" applyFill="1" applyBorder="1" applyAlignment="1">
      <alignment horizontal="center" vertical="center" wrapText="1"/>
    </xf>
    <xf numFmtId="0" fontId="9" fillId="160" borderId="175" xfId="0" applyFont="1" applyFill="1" applyBorder="1" applyAlignment="1">
      <alignment horizontal="center" vertical="center" wrapText="1"/>
    </xf>
    <xf numFmtId="0" fontId="9" fillId="161" borderId="176" xfId="0" applyFont="1" applyFill="1" applyBorder="1" applyAlignment="1">
      <alignment horizontal="center" vertical="center" wrapText="1"/>
    </xf>
    <xf numFmtId="0" fontId="9" fillId="162" borderId="177" xfId="0" applyFont="1" applyFill="1" applyBorder="1" applyAlignment="1">
      <alignment horizontal="center" vertical="center" wrapText="1"/>
    </xf>
    <xf numFmtId="0" fontId="9" fillId="163" borderId="178" xfId="0" applyFont="1" applyFill="1" applyBorder="1" applyAlignment="1">
      <alignment horizontal="center" vertical="center" wrapText="1"/>
    </xf>
    <xf numFmtId="0" fontId="9" fillId="164" borderId="179" xfId="0" applyFont="1" applyFill="1" applyBorder="1" applyAlignment="1">
      <alignment horizontal="center" vertical="center" wrapText="1"/>
    </xf>
    <xf numFmtId="0" fontId="9" fillId="165" borderId="180" xfId="0" applyFont="1" applyFill="1" applyBorder="1" applyAlignment="1">
      <alignment horizontal="center" vertical="center" wrapText="1"/>
    </xf>
    <xf numFmtId="0" fontId="5" fillId="166" borderId="181" xfId="0" applyFont="1" applyFill="1" applyBorder="1" applyAlignment="1">
      <alignment horizontal="left" vertical="center" wrapText="1"/>
    </xf>
    <xf numFmtId="0" fontId="5" fillId="167" borderId="182" xfId="0" applyFont="1" applyFill="1" applyBorder="1" applyAlignment="1">
      <alignment horizontal="left" vertical="center" wrapText="1"/>
    </xf>
    <xf numFmtId="0" fontId="0" fillId="0" borderId="183" xfId="0" applyBorder="1" applyAlignment="1">
      <alignment horizontal="left" vertical="center" wrapText="1"/>
    </xf>
    <xf numFmtId="0" fontId="0" fillId="0" borderId="184" xfId="0" applyBorder="1" applyAlignment="1">
      <alignment horizontal="left" vertical="center" wrapText="1"/>
    </xf>
    <xf numFmtId="0" fontId="5" fillId="4" borderId="3" xfId="0" applyFont="1" applyFill="1" applyBorder="1" applyAlignment="1">
      <alignment horizontal="left" vertical="center" wrapText="1"/>
    </xf>
    <xf numFmtId="0" fontId="5" fillId="7" borderId="6" xfId="0" applyFont="1" applyFill="1" applyBorder="1" applyAlignment="1">
      <alignment horizontal="left" vertical="center" wrapText="1"/>
    </xf>
    <xf numFmtId="0" fontId="5" fillId="168" borderId="185" xfId="0" applyFont="1" applyFill="1" applyBorder="1" applyAlignment="1">
      <alignment horizontal="left" vertical="center" wrapText="1"/>
    </xf>
    <xf numFmtId="0" fontId="5" fillId="169" borderId="186" xfId="0" applyFont="1" applyFill="1" applyBorder="1" applyAlignment="1">
      <alignment horizontal="left" vertical="center" wrapText="1"/>
    </xf>
    <xf numFmtId="0" fontId="5" fillId="175" borderId="192" xfId="0" applyFont="1" applyFill="1" applyBorder="1" applyAlignment="1">
      <alignment horizontal="left" vertical="center" wrapText="1"/>
    </xf>
    <xf numFmtId="0" fontId="5" fillId="176" borderId="193" xfId="0" applyFont="1" applyFill="1" applyBorder="1" applyAlignment="1">
      <alignment horizontal="left" vertical="center" wrapText="1"/>
    </xf>
    <xf numFmtId="0" fontId="5" fillId="0" borderId="8" xfId="0" applyFont="1" applyBorder="1" applyAlignment="1">
      <alignment horizontal="left" vertical="center" wrapText="1"/>
    </xf>
    <xf numFmtId="0" fontId="0" fillId="0" borderId="8" xfId="0" applyBorder="1" applyAlignment="1">
      <alignment horizontal="left" vertical="center" wrapText="1"/>
    </xf>
    <xf numFmtId="0" fontId="0" fillId="6" borderId="5" xfId="0" applyFill="1" applyBorder="1" applyAlignment="1">
      <alignment horizontal="left" vertical="center" wrapText="1"/>
    </xf>
    <xf numFmtId="0" fontId="5" fillId="177" borderId="194" xfId="0" applyFont="1" applyFill="1" applyBorder="1" applyAlignment="1">
      <alignment horizontal="left" vertical="center" wrapText="1"/>
    </xf>
    <xf numFmtId="0" fontId="5" fillId="178" borderId="195" xfId="0" applyFont="1" applyFill="1" applyBorder="1" applyAlignment="1">
      <alignment horizontal="left" vertical="center" wrapText="1"/>
    </xf>
    <xf numFmtId="0" fontId="0" fillId="4" borderId="3" xfId="0" applyFill="1" applyBorder="1" applyAlignment="1">
      <alignment horizontal="left" vertical="center" wrapText="1"/>
    </xf>
    <xf numFmtId="0" fontId="0" fillId="7" borderId="6" xfId="0" applyFill="1" applyBorder="1" applyAlignment="1">
      <alignment horizontal="left" vertical="center" wrapText="1"/>
    </xf>
    <xf numFmtId="0" fontId="31" fillId="170" borderId="187" xfId="0" applyFont="1" applyFill="1" applyBorder="1" applyAlignment="1">
      <alignment horizontal="right" vertical="center" wrapText="1"/>
    </xf>
    <xf numFmtId="0" fontId="31" fillId="171" borderId="188" xfId="0" applyFont="1" applyFill="1" applyBorder="1" applyAlignment="1">
      <alignment horizontal="right" vertical="center" wrapText="1"/>
    </xf>
    <xf numFmtId="0" fontId="31" fillId="49" borderId="57" xfId="0" applyFont="1" applyFill="1" applyBorder="1" applyAlignment="1">
      <alignment horizontal="right" vertical="center" wrapText="1"/>
    </xf>
    <xf numFmtId="0" fontId="31" fillId="172" borderId="189" xfId="0" applyFont="1" applyFill="1" applyBorder="1" applyAlignment="1">
      <alignment horizontal="right" vertical="center" wrapText="1"/>
    </xf>
    <xf numFmtId="0" fontId="8" fillId="173" borderId="190" xfId="0" applyFont="1" applyFill="1" applyBorder="1" applyAlignment="1">
      <alignment horizontal="right" vertical="center" wrapText="1"/>
    </xf>
    <xf numFmtId="0" fontId="8" fillId="174" borderId="191" xfId="0" applyFont="1" applyFill="1" applyBorder="1" applyAlignment="1">
      <alignment horizontal="right" vertical="center" wrapText="1"/>
    </xf>
    <xf numFmtId="0" fontId="8" fillId="50" borderId="58" xfId="0" applyFont="1" applyFill="1" applyBorder="1" applyAlignment="1">
      <alignment horizontal="right" vertical="center" wrapText="1"/>
    </xf>
    <xf numFmtId="0" fontId="36" fillId="179" borderId="196" xfId="0" applyFont="1" applyFill="1" applyBorder="1" applyAlignment="1">
      <alignment horizontal="center" vertical="center"/>
    </xf>
    <xf numFmtId="0" fontId="36" fillId="179" borderId="197" xfId="0" applyFont="1" applyFill="1" applyBorder="1" applyAlignment="1">
      <alignment horizontal="center" vertical="center"/>
    </xf>
    <xf numFmtId="0" fontId="36" fillId="179" borderId="198" xfId="0" applyFont="1" applyFill="1" applyBorder="1" applyAlignment="1">
      <alignment horizontal="center" vertical="center"/>
    </xf>
    <xf numFmtId="0" fontId="37" fillId="180" borderId="199" xfId="0" applyFont="1" applyFill="1" applyBorder="1" applyAlignment="1">
      <alignment horizontal="center" vertical="center" wrapText="1"/>
    </xf>
    <xf numFmtId="0" fontId="37" fillId="180" borderId="200" xfId="0" applyFont="1" applyFill="1" applyBorder="1" applyAlignment="1">
      <alignment horizontal="center" vertical="center" wrapText="1"/>
    </xf>
    <xf numFmtId="0" fontId="36" fillId="180" borderId="201" xfId="0" applyFont="1" applyFill="1" applyBorder="1" applyAlignment="1">
      <alignment horizontal="center" vertical="center" wrapText="1"/>
    </xf>
    <xf numFmtId="0" fontId="37" fillId="0" borderId="199" xfId="0" applyFont="1" applyBorder="1" applyAlignment="1">
      <alignment horizontal="center" vertical="center" wrapText="1"/>
    </xf>
    <xf numFmtId="0" fontId="37" fillId="0" borderId="200" xfId="0" applyFont="1" applyBorder="1" applyAlignment="1">
      <alignment horizontal="center" vertical="center" wrapText="1"/>
    </xf>
    <xf numFmtId="0" fontId="36" fillId="0" borderId="201" xfId="0" applyFont="1" applyBorder="1" applyAlignment="1">
      <alignment horizontal="center" vertical="center" wrapText="1"/>
    </xf>
    <xf numFmtId="3" fontId="37" fillId="0" borderId="202" xfId="0" applyNumberFormat="1" applyFont="1" applyBorder="1" applyAlignment="1">
      <alignment horizontal="center" vertical="center"/>
    </xf>
    <xf numFmtId="3" fontId="37" fillId="0" borderId="203" xfId="0" applyNumberFormat="1" applyFont="1" applyBorder="1" applyAlignment="1">
      <alignment horizontal="center" vertical="center"/>
    </xf>
    <xf numFmtId="3" fontId="37" fillId="0" borderId="204" xfId="0" applyNumberFormat="1" applyFont="1" applyBorder="1" applyAlignment="1">
      <alignment horizontal="center" vertical="center"/>
    </xf>
    <xf numFmtId="3" fontId="37" fillId="0" borderId="205" xfId="0" applyNumberFormat="1" applyFont="1" applyBorder="1" applyAlignment="1">
      <alignment horizontal="center" vertical="center"/>
    </xf>
    <xf numFmtId="3" fontId="37" fillId="0" borderId="206" xfId="0" applyNumberFormat="1" applyFont="1" applyBorder="1" applyAlignment="1">
      <alignment horizontal="center" vertical="center"/>
    </xf>
    <xf numFmtId="3" fontId="37" fillId="0" borderId="207" xfId="0" applyNumberFormat="1" applyFont="1" applyBorder="1" applyAlignment="1">
      <alignment horizontal="center" vertical="center"/>
    </xf>
    <xf numFmtId="3" fontId="37" fillId="0" borderId="208" xfId="0" applyNumberFormat="1" applyFont="1" applyBorder="1" applyAlignment="1">
      <alignment horizontal="center" vertical="center"/>
    </xf>
    <xf numFmtId="3" fontId="37" fillId="0" borderId="209" xfId="0" applyNumberFormat="1" applyFont="1" applyBorder="1" applyAlignment="1">
      <alignment horizontal="center" vertical="center"/>
    </xf>
    <xf numFmtId="3" fontId="36" fillId="0" borderId="196" xfId="0" applyNumberFormat="1" applyFont="1" applyBorder="1" applyAlignment="1">
      <alignment horizontal="center" vertical="center"/>
    </xf>
    <xf numFmtId="3" fontId="36" fillId="0" borderId="197" xfId="0" applyNumberFormat="1" applyFont="1" applyBorder="1" applyAlignment="1">
      <alignment horizontal="center" vertical="center"/>
    </xf>
    <xf numFmtId="3" fontId="36" fillId="0" borderId="198" xfId="0" applyNumberFormat="1" applyFont="1" applyBorder="1" applyAlignment="1">
      <alignment horizontal="center" vertical="center"/>
    </xf>
    <xf numFmtId="3" fontId="36" fillId="0" borderId="210" xfId="0" applyNumberFormat="1" applyFont="1" applyBorder="1" applyAlignment="1">
      <alignment horizontal="center" vertical="center"/>
    </xf>
    <xf numFmtId="0" fontId="36" fillId="0" borderId="211" xfId="0" applyFont="1" applyBorder="1" applyAlignment="1">
      <alignment horizontal="center" vertical="center" wrapText="1"/>
    </xf>
    <xf numFmtId="0" fontId="36" fillId="0" borderId="212" xfId="0" applyFont="1" applyBorder="1" applyAlignment="1">
      <alignment horizontal="center" vertical="center" wrapText="1"/>
    </xf>
    <xf numFmtId="0" fontId="36" fillId="0" borderId="213" xfId="0" applyFont="1" applyBorder="1" applyAlignment="1">
      <alignment horizontal="center" vertical="center" wrapText="1"/>
    </xf>
    <xf numFmtId="0" fontId="36" fillId="0" borderId="214" xfId="0" applyFont="1" applyBorder="1" applyAlignment="1">
      <alignment horizontal="center" vertical="center" wrapText="1"/>
    </xf>
    <xf numFmtId="3" fontId="0" fillId="91" borderId="21" xfId="0" applyNumberFormat="1" applyFill="1" applyBorder="1" applyAlignment="1">
      <alignment horizontal="center" vertical="center" wrapText="1"/>
    </xf>
    <xf numFmtId="3" fontId="0" fillId="91" borderId="22" xfId="0" applyNumberFormat="1" applyFill="1" applyBorder="1" applyAlignment="1">
      <alignment horizontal="center" vertical="center" wrapText="1"/>
    </xf>
  </cellXfs>
  <cellStyles count="2">
    <cellStyle name="Normal" xfId="0" builtinId="0"/>
    <cellStyle name="Percent" xfId="1"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698359497" count="1">
        <pm:charStyle name="Normal" fontId="0"/>
      </pm:charStyles>
      <pm:colors xmlns:pm="smNativeData" id="1698359497" count="17">
        <pm:color name="Colour 24" rgb="1F497D"/>
        <pm:color name="Colour 25" rgb="005700"/>
        <pm:color name="Colour 26" rgb="CCFFFF"/>
        <pm:color name="Colour 27" rgb="D8D8D8"/>
        <pm:color name="Colour 28" rgb="D7E3BB"/>
        <pm:color name="Colour 29" rgb="DCE6F1"/>
        <pm:color name="Colour 30" rgb="EEECE1"/>
        <pm:color name="Colour 31" rgb="DAEEF3"/>
        <pm:color name="Colour 32" rgb="585858"/>
        <pm:color name="Colour 33" rgb="BFBFBF"/>
        <pm:color name="Colour 34" rgb="008080"/>
        <pm:color name="Colour 35" rgb="99CCFF"/>
        <pm:color name="Colour 36" rgb="FDE9D9"/>
        <pm:color name="Colour 37" rgb="EBF1DC"/>
        <pm:color name="Colour 38" rgb="C5D9F1"/>
        <pm:color name="Colour 39" rgb="4F81BD"/>
        <pm:color name="Colour 40" rgb="919191"/>
      </pm:colors>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2"/>
  <sheetViews>
    <sheetView workbookViewId="0">
      <selection activeCell="E17" sqref="E17"/>
    </sheetView>
  </sheetViews>
  <sheetFormatPr defaultColWidth="10" defaultRowHeight="12.5" x14ac:dyDescent="0.25"/>
  <cols>
    <col min="1" max="3" width="23.54296875" customWidth="1"/>
    <col min="4" max="4" width="16.453125" customWidth="1"/>
    <col min="5" max="5" width="16.81640625" customWidth="1"/>
    <col min="6" max="6" width="19" customWidth="1"/>
    <col min="7" max="8" width="16.453125" customWidth="1"/>
    <col min="9" max="9" width="18.453125" customWidth="1"/>
    <col min="10" max="10" width="13.453125" customWidth="1"/>
    <col min="12" max="13" width="11.54296875" customWidth="1"/>
  </cols>
  <sheetData>
    <row r="1" spans="1:27" ht="13" x14ac:dyDescent="0.25">
      <c r="A1" s="272" t="s">
        <v>0</v>
      </c>
      <c r="B1" s="272"/>
      <c r="C1" s="272"/>
      <c r="D1" s="272"/>
      <c r="E1" s="272"/>
      <c r="F1" s="272"/>
      <c r="G1" s="272"/>
      <c r="H1" s="272"/>
      <c r="I1" s="272"/>
      <c r="J1" s="272"/>
      <c r="K1" s="1"/>
      <c r="L1" s="1"/>
      <c r="M1" s="1"/>
      <c r="N1" s="1"/>
      <c r="O1" s="1"/>
      <c r="P1" s="1"/>
      <c r="Q1" s="1"/>
      <c r="R1" s="1"/>
      <c r="S1" s="1"/>
      <c r="T1" s="1"/>
      <c r="U1" s="1"/>
      <c r="V1" s="1"/>
      <c r="W1" s="1"/>
      <c r="X1" s="1"/>
      <c r="Y1" s="1"/>
      <c r="Z1" s="1"/>
      <c r="AA1" s="1"/>
    </row>
    <row r="2" spans="1:27" ht="13" x14ac:dyDescent="0.25">
      <c r="A2" s="273" t="s">
        <v>1</v>
      </c>
      <c r="B2" s="273"/>
      <c r="C2" s="273"/>
      <c r="D2" s="273"/>
      <c r="E2" s="273"/>
      <c r="F2" s="273"/>
      <c r="G2" s="273"/>
      <c r="H2" s="273"/>
      <c r="I2" s="273"/>
      <c r="J2" s="273"/>
      <c r="K2" s="1"/>
      <c r="L2" s="1"/>
      <c r="M2" s="1"/>
      <c r="N2" s="1"/>
      <c r="O2" s="1"/>
      <c r="P2" s="1"/>
      <c r="Q2" s="1"/>
      <c r="R2" s="1"/>
      <c r="S2" s="1"/>
      <c r="T2" s="1"/>
      <c r="U2" s="1"/>
      <c r="V2" s="1"/>
      <c r="W2" s="1"/>
      <c r="X2" s="1"/>
      <c r="Y2" s="1"/>
      <c r="Z2" s="1"/>
      <c r="AA2" s="1"/>
    </row>
    <row r="3" spans="1:27" ht="13" x14ac:dyDescent="0.25">
      <c r="A3" s="274" t="s">
        <v>2</v>
      </c>
      <c r="B3" s="274"/>
      <c r="C3" s="274"/>
      <c r="D3" s="275"/>
      <c r="E3" s="275"/>
      <c r="F3" s="275"/>
      <c r="G3" s="275"/>
      <c r="H3" s="275"/>
      <c r="I3" s="275"/>
      <c r="J3" s="275"/>
      <c r="K3" s="1"/>
      <c r="L3" s="1"/>
      <c r="M3" s="1"/>
      <c r="N3" s="1"/>
      <c r="O3" s="1"/>
      <c r="P3" s="1"/>
      <c r="Q3" s="1"/>
      <c r="R3" s="1"/>
      <c r="S3" s="1"/>
      <c r="T3" s="1"/>
      <c r="U3" s="1"/>
      <c r="V3" s="1"/>
      <c r="W3" s="1"/>
      <c r="X3" s="1"/>
      <c r="Y3" s="1"/>
      <c r="Z3" s="1"/>
      <c r="AA3" s="1"/>
    </row>
    <row r="4" spans="1:27" ht="48.25" customHeight="1" x14ac:dyDescent="0.25">
      <c r="A4" s="278" t="s">
        <v>3</v>
      </c>
      <c r="B4" s="276" t="s">
        <v>4</v>
      </c>
      <c r="C4" s="277"/>
      <c r="D4" s="278" t="s">
        <v>5</v>
      </c>
      <c r="E4" s="278"/>
      <c r="F4" s="278"/>
      <c r="G4" s="276" t="s">
        <v>6</v>
      </c>
      <c r="H4" s="279"/>
      <c r="I4" s="279"/>
      <c r="J4" s="280"/>
      <c r="K4" s="1"/>
      <c r="L4" s="1"/>
      <c r="M4" s="1">
        <v>0.85</v>
      </c>
      <c r="N4" s="1">
        <v>0.15</v>
      </c>
      <c r="O4" s="1"/>
      <c r="P4" s="1"/>
      <c r="Q4" s="1"/>
      <c r="R4" s="1"/>
      <c r="S4" s="1"/>
      <c r="T4" s="1"/>
      <c r="U4" s="1"/>
      <c r="V4" s="1"/>
      <c r="W4" s="1"/>
      <c r="X4" s="1"/>
      <c r="Y4" s="1"/>
      <c r="Z4" s="1"/>
      <c r="AA4" s="1"/>
    </row>
    <row r="5" spans="1:27" ht="57.65" customHeight="1" x14ac:dyDescent="0.25">
      <c r="A5" s="281"/>
      <c r="B5" s="10" t="s">
        <v>7</v>
      </c>
      <c r="C5" s="10" t="s">
        <v>8</v>
      </c>
      <c r="D5" s="10" t="s">
        <v>9</v>
      </c>
      <c r="E5" s="10" t="s">
        <v>10</v>
      </c>
      <c r="F5" s="10" t="s">
        <v>11</v>
      </c>
      <c r="G5" s="10">
        <v>2024</v>
      </c>
      <c r="H5" s="10">
        <v>2025</v>
      </c>
      <c r="I5" s="10">
        <v>2026</v>
      </c>
      <c r="J5" s="10">
        <v>2027</v>
      </c>
      <c r="K5" s="1"/>
      <c r="L5" s="1"/>
      <c r="M5" s="1"/>
      <c r="N5" s="1"/>
      <c r="O5" s="1"/>
      <c r="P5" s="1"/>
      <c r="Q5" s="1"/>
      <c r="R5" s="1"/>
      <c r="S5" s="1"/>
      <c r="T5" s="1"/>
      <c r="U5" s="1"/>
      <c r="V5" s="1"/>
      <c r="W5" s="1"/>
      <c r="X5" s="1"/>
      <c r="Y5" s="1"/>
      <c r="Z5" s="1"/>
      <c r="AA5" s="1"/>
    </row>
    <row r="6" spans="1:27" ht="25" x14ac:dyDescent="0.25">
      <c r="A6" s="282" t="s">
        <v>12</v>
      </c>
      <c r="B6" s="13" t="s">
        <v>13</v>
      </c>
      <c r="C6" s="12">
        <v>18500000</v>
      </c>
      <c r="D6" s="284">
        <v>22000000</v>
      </c>
      <c r="E6" s="284">
        <f>D6*$M$4</f>
        <v>18700000</v>
      </c>
      <c r="F6" s="284">
        <f>D6*$N$4</f>
        <v>3300000</v>
      </c>
      <c r="G6" s="284">
        <v>3000000</v>
      </c>
      <c r="H6" s="284">
        <v>5000000</v>
      </c>
      <c r="I6" s="284">
        <v>5000000</v>
      </c>
      <c r="J6" s="284">
        <f>E6-G6-H6-I6</f>
        <v>5700000</v>
      </c>
      <c r="K6" s="1"/>
      <c r="L6" s="7"/>
      <c r="M6" s="1"/>
      <c r="N6" s="1"/>
      <c r="O6" s="1"/>
      <c r="P6" s="1"/>
      <c r="Q6" s="1"/>
      <c r="R6" s="1"/>
      <c r="S6" s="1"/>
      <c r="T6" s="1"/>
      <c r="U6" s="1"/>
      <c r="V6" s="1"/>
      <c r="W6" s="1"/>
      <c r="X6" s="1"/>
      <c r="Y6" s="1"/>
      <c r="Z6" s="1"/>
      <c r="AA6" s="1"/>
    </row>
    <row r="7" spans="1:27" ht="25" x14ac:dyDescent="0.25">
      <c r="A7" s="283"/>
      <c r="B7" s="13" t="s">
        <v>14</v>
      </c>
      <c r="C7" s="12">
        <v>3500000</v>
      </c>
      <c r="D7" s="285"/>
      <c r="E7" s="285"/>
      <c r="F7" s="285"/>
      <c r="G7" s="285"/>
      <c r="H7" s="285"/>
      <c r="I7" s="285"/>
      <c r="J7" s="285"/>
      <c r="K7" s="1"/>
      <c r="L7" s="7"/>
      <c r="M7" s="1"/>
      <c r="N7" s="1"/>
      <c r="O7" s="1"/>
      <c r="P7" s="1"/>
      <c r="Q7" s="1"/>
      <c r="R7" s="1"/>
      <c r="S7" s="1"/>
      <c r="T7" s="1"/>
      <c r="U7" s="1"/>
      <c r="V7" s="1"/>
      <c r="W7" s="1"/>
      <c r="X7" s="1"/>
      <c r="Y7" s="1"/>
      <c r="Z7" s="1"/>
      <c r="AA7" s="1"/>
    </row>
    <row r="8" spans="1:27" x14ac:dyDescent="0.25">
      <c r="A8" s="282" t="s">
        <v>15</v>
      </c>
      <c r="B8" s="13" t="s">
        <v>16</v>
      </c>
      <c r="C8" s="12">
        <v>2000000</v>
      </c>
      <c r="D8" s="284">
        <v>6000000</v>
      </c>
      <c r="E8" s="284">
        <f>D8*$M$4</f>
        <v>5100000</v>
      </c>
      <c r="F8" s="284">
        <f>D8*$N$4</f>
        <v>900000</v>
      </c>
      <c r="G8" s="284">
        <v>1000000</v>
      </c>
      <c r="H8" s="284">
        <v>1500000</v>
      </c>
      <c r="I8" s="284">
        <v>1500000</v>
      </c>
      <c r="J8" s="284">
        <f>E8-G8-H8-I8</f>
        <v>1100000</v>
      </c>
      <c r="K8" s="1"/>
      <c r="L8" s="1"/>
      <c r="M8" s="1"/>
      <c r="N8" s="1"/>
      <c r="O8" s="1"/>
      <c r="P8" s="1"/>
      <c r="Q8" s="1"/>
      <c r="R8" s="1"/>
      <c r="S8" s="1"/>
      <c r="T8" s="1"/>
      <c r="U8" s="1"/>
      <c r="V8" s="1"/>
      <c r="W8" s="1"/>
      <c r="X8" s="1"/>
      <c r="Y8" s="1"/>
      <c r="Z8" s="1"/>
      <c r="AA8" s="1"/>
    </row>
    <row r="9" spans="1:27" x14ac:dyDescent="0.25">
      <c r="A9" s="283"/>
      <c r="B9" s="13" t="s">
        <v>17</v>
      </c>
      <c r="C9" s="12">
        <v>4000000</v>
      </c>
      <c r="D9" s="286"/>
      <c r="E9" s="286"/>
      <c r="F9" s="286"/>
      <c r="G9" s="286"/>
      <c r="H9" s="286"/>
      <c r="I9" s="286"/>
      <c r="J9" s="286"/>
      <c r="K9" s="1"/>
      <c r="L9" s="1"/>
      <c r="M9" s="1"/>
      <c r="N9" s="1"/>
      <c r="O9" s="1"/>
      <c r="P9" s="1"/>
      <c r="Q9" s="1"/>
      <c r="R9" s="1"/>
      <c r="S9" s="1"/>
      <c r="T9" s="1"/>
      <c r="U9" s="1"/>
      <c r="V9" s="1"/>
      <c r="W9" s="1"/>
      <c r="X9" s="1"/>
      <c r="Y9" s="1"/>
      <c r="Z9" s="1"/>
      <c r="AA9" s="1"/>
    </row>
    <row r="10" spans="1:27" x14ac:dyDescent="0.25">
      <c r="A10" s="282" t="s">
        <v>18</v>
      </c>
      <c r="B10" s="13" t="s">
        <v>16</v>
      </c>
      <c r="C10" s="16">
        <v>1500000</v>
      </c>
      <c r="D10" s="288">
        <v>10500000</v>
      </c>
      <c r="E10" s="288">
        <f>D10*$M$4</f>
        <v>8925000</v>
      </c>
      <c r="F10" s="288">
        <f>D10*$N$4</f>
        <v>1575000</v>
      </c>
      <c r="G10" s="288">
        <v>800000</v>
      </c>
      <c r="H10" s="288">
        <v>2000000</v>
      </c>
      <c r="I10" s="288">
        <v>2000000</v>
      </c>
      <c r="J10" s="288">
        <f>E10-G10-H10-I10</f>
        <v>4125000</v>
      </c>
      <c r="K10" s="1"/>
      <c r="L10" s="1"/>
      <c r="M10" s="1"/>
      <c r="N10" s="1"/>
      <c r="O10" s="1"/>
      <c r="P10" s="1"/>
      <c r="Q10" s="1"/>
      <c r="R10" s="1"/>
      <c r="S10" s="1"/>
      <c r="T10" s="1"/>
      <c r="U10" s="1"/>
      <c r="V10" s="1"/>
      <c r="W10" s="1"/>
      <c r="X10" s="1"/>
      <c r="Y10" s="1"/>
      <c r="Z10" s="1"/>
      <c r="AA10" s="1"/>
    </row>
    <row r="11" spans="1:27" x14ac:dyDescent="0.25">
      <c r="A11" s="287"/>
      <c r="B11" s="13" t="s">
        <v>19</v>
      </c>
      <c r="C11" s="16">
        <v>3800000</v>
      </c>
      <c r="D11" s="289"/>
      <c r="E11" s="289"/>
      <c r="F11" s="289"/>
      <c r="G11" s="289"/>
      <c r="H11" s="289"/>
      <c r="I11" s="289"/>
      <c r="J11" s="289"/>
      <c r="K11" s="1"/>
      <c r="L11" s="1"/>
      <c r="M11" s="1"/>
      <c r="N11" s="1"/>
      <c r="O11" s="1"/>
      <c r="P11" s="1"/>
      <c r="Q11" s="1"/>
      <c r="R11" s="1"/>
      <c r="S11" s="1"/>
      <c r="T11" s="1"/>
      <c r="U11" s="1"/>
      <c r="V11" s="1"/>
      <c r="W11" s="1"/>
      <c r="X11" s="1"/>
      <c r="Y11" s="1"/>
      <c r="Z11" s="1"/>
      <c r="AA11" s="1"/>
    </row>
    <row r="12" spans="1:27" ht="25" x14ac:dyDescent="0.25">
      <c r="A12" s="287"/>
      <c r="B12" s="13" t="s">
        <v>20</v>
      </c>
      <c r="C12" s="16">
        <v>200000</v>
      </c>
      <c r="D12" s="289"/>
      <c r="E12" s="289"/>
      <c r="F12" s="289"/>
      <c r="G12" s="289"/>
      <c r="H12" s="289"/>
      <c r="I12" s="289"/>
      <c r="J12" s="289"/>
      <c r="K12" s="1"/>
      <c r="L12" s="1"/>
      <c r="M12" s="1"/>
      <c r="N12" s="1"/>
      <c r="O12" s="1"/>
      <c r="P12" s="1"/>
      <c r="Q12" s="1"/>
      <c r="R12" s="1"/>
      <c r="S12" s="1"/>
      <c r="T12" s="1"/>
      <c r="U12" s="1"/>
      <c r="V12" s="1"/>
      <c r="W12" s="1"/>
      <c r="X12" s="1"/>
      <c r="Y12" s="1"/>
      <c r="Z12" s="1"/>
      <c r="AA12" s="1"/>
    </row>
    <row r="13" spans="1:27" x14ac:dyDescent="0.25">
      <c r="A13" s="287"/>
      <c r="B13" s="13" t="s">
        <v>17</v>
      </c>
      <c r="C13" s="16">
        <v>3000000</v>
      </c>
      <c r="D13" s="289"/>
      <c r="E13" s="289"/>
      <c r="F13" s="289"/>
      <c r="G13" s="289"/>
      <c r="H13" s="289"/>
      <c r="I13" s="289"/>
      <c r="J13" s="289"/>
      <c r="K13" s="1"/>
      <c r="L13" s="1"/>
      <c r="M13" s="1"/>
      <c r="N13" s="1"/>
      <c r="O13" s="1"/>
      <c r="P13" s="1"/>
      <c r="Q13" s="1"/>
      <c r="R13" s="1"/>
      <c r="S13" s="1"/>
      <c r="T13" s="1"/>
      <c r="U13" s="1"/>
      <c r="V13" s="1"/>
      <c r="W13" s="1"/>
      <c r="X13" s="1"/>
      <c r="Y13" s="1"/>
      <c r="Z13" s="1"/>
      <c r="AA13" s="1"/>
    </row>
    <row r="14" spans="1:27" x14ac:dyDescent="0.25">
      <c r="A14" s="283"/>
      <c r="B14" s="13" t="s">
        <v>16</v>
      </c>
      <c r="C14" s="16">
        <v>2000000</v>
      </c>
      <c r="D14" s="289"/>
      <c r="E14" s="289"/>
      <c r="F14" s="289"/>
      <c r="G14" s="289"/>
      <c r="H14" s="289"/>
      <c r="I14" s="289"/>
      <c r="J14" s="289"/>
      <c r="K14" s="1"/>
      <c r="L14" s="1"/>
      <c r="M14" s="1"/>
      <c r="N14" s="1"/>
      <c r="O14" s="1"/>
      <c r="P14" s="1"/>
      <c r="Q14" s="1"/>
      <c r="R14" s="1"/>
      <c r="S14" s="1"/>
      <c r="T14" s="1"/>
      <c r="U14" s="1"/>
      <c r="V14" s="1"/>
      <c r="W14" s="1"/>
      <c r="X14" s="1"/>
      <c r="Y14" s="1"/>
      <c r="Z14" s="1"/>
      <c r="AA14" s="1"/>
    </row>
    <row r="15" spans="1:27" x14ac:dyDescent="0.25">
      <c r="A15" s="290" t="s">
        <v>21</v>
      </c>
      <c r="B15" s="17" t="s">
        <v>19</v>
      </c>
      <c r="C15" s="18">
        <f>5500000*0.95</f>
        <v>5225000</v>
      </c>
      <c r="D15" s="288">
        <v>5500000</v>
      </c>
      <c r="E15" s="288">
        <f>D15*$M$4</f>
        <v>4675000</v>
      </c>
      <c r="F15" s="288">
        <f>D15*$N$4</f>
        <v>825000</v>
      </c>
      <c r="G15" s="288">
        <v>0</v>
      </c>
      <c r="H15" s="288">
        <v>0</v>
      </c>
      <c r="I15" s="288">
        <v>2500000</v>
      </c>
      <c r="J15" s="288">
        <f>E15-G15-H15-I15</f>
        <v>2175000</v>
      </c>
      <c r="K15" s="1"/>
      <c r="L15" s="1"/>
      <c r="M15" s="1"/>
      <c r="N15" s="1"/>
      <c r="O15" s="1"/>
      <c r="P15" s="1"/>
      <c r="Q15" s="1"/>
      <c r="R15" s="1"/>
      <c r="S15" s="1"/>
      <c r="T15" s="1"/>
      <c r="U15" s="1"/>
      <c r="V15" s="1"/>
      <c r="W15" s="1"/>
      <c r="X15" s="1"/>
      <c r="Y15" s="1"/>
      <c r="Z15" s="1"/>
      <c r="AA15" s="1"/>
    </row>
    <row r="16" spans="1:27" ht="25" x14ac:dyDescent="0.25">
      <c r="A16" s="291"/>
      <c r="B16" s="13" t="s">
        <v>20</v>
      </c>
      <c r="C16" s="12">
        <f>D15-C15</f>
        <v>275000</v>
      </c>
      <c r="D16" s="289"/>
      <c r="E16" s="289"/>
      <c r="F16" s="289"/>
      <c r="G16" s="289"/>
      <c r="H16" s="289"/>
      <c r="I16" s="289"/>
      <c r="J16" s="289"/>
      <c r="K16" s="1"/>
      <c r="L16" s="1"/>
      <c r="M16" s="1"/>
      <c r="N16" s="1"/>
      <c r="O16" s="1"/>
      <c r="P16" s="1"/>
      <c r="Q16" s="1"/>
      <c r="R16" s="1"/>
      <c r="S16" s="1"/>
      <c r="T16" s="1"/>
      <c r="U16" s="1"/>
      <c r="V16" s="1"/>
      <c r="W16" s="1"/>
      <c r="X16" s="1"/>
      <c r="Y16" s="1"/>
      <c r="Z16" s="1"/>
      <c r="AA16" s="1"/>
    </row>
    <row r="17" spans="1:27" ht="37.5" x14ac:dyDescent="0.25">
      <c r="A17" s="15" t="s">
        <v>22</v>
      </c>
      <c r="B17" s="13" t="s">
        <v>23</v>
      </c>
      <c r="C17" s="12">
        <v>3060000</v>
      </c>
      <c r="D17" s="12">
        <v>3060000</v>
      </c>
      <c r="E17" s="12">
        <v>2600000</v>
      </c>
      <c r="F17" s="12">
        <f>D17-E17</f>
        <v>460000</v>
      </c>
      <c r="G17" s="12">
        <v>700000</v>
      </c>
      <c r="H17" s="12">
        <v>700000</v>
      </c>
      <c r="I17" s="12">
        <v>700000</v>
      </c>
      <c r="J17" s="12">
        <f>E17-G17-H17-I17</f>
        <v>500000</v>
      </c>
      <c r="K17" s="1"/>
      <c r="L17" s="1"/>
      <c r="M17" s="1"/>
      <c r="N17" s="1"/>
      <c r="O17" s="1"/>
      <c r="P17" s="1"/>
      <c r="Q17" s="1"/>
      <c r="R17" s="1"/>
      <c r="S17" s="1"/>
      <c r="T17" s="1"/>
      <c r="U17" s="1"/>
      <c r="V17" s="1"/>
      <c r="W17" s="1"/>
      <c r="X17" s="1"/>
      <c r="Y17" s="1"/>
      <c r="Z17" s="1"/>
      <c r="AA17" s="1"/>
    </row>
    <row r="18" spans="1:27" ht="42.75" customHeight="1" x14ac:dyDescent="0.25">
      <c r="A18" s="11" t="s">
        <v>24</v>
      </c>
      <c r="B18" s="11"/>
      <c r="C18" s="11"/>
      <c r="D18" s="19">
        <f t="shared" ref="D18:J18" si="0">D6+D8+D9+D10+D15+D17</f>
        <v>47060000</v>
      </c>
      <c r="E18" s="19">
        <f t="shared" si="0"/>
        <v>40000000</v>
      </c>
      <c r="F18" s="19">
        <f t="shared" si="0"/>
        <v>7060000</v>
      </c>
      <c r="G18" s="14">
        <f t="shared" si="0"/>
        <v>5500000</v>
      </c>
      <c r="H18" s="14">
        <f t="shared" si="0"/>
        <v>9200000</v>
      </c>
      <c r="I18" s="14">
        <f t="shared" si="0"/>
        <v>11700000</v>
      </c>
      <c r="J18" s="14">
        <f t="shared" si="0"/>
        <v>13600000</v>
      </c>
      <c r="K18" s="1"/>
      <c r="L18" s="1"/>
      <c r="M18" s="1"/>
      <c r="N18" s="1"/>
      <c r="O18" s="1"/>
      <c r="P18" s="1"/>
      <c r="Q18" s="1"/>
      <c r="R18" s="1"/>
      <c r="S18" s="1"/>
      <c r="T18" s="1"/>
      <c r="U18" s="1"/>
      <c r="V18" s="1"/>
      <c r="W18" s="1"/>
      <c r="X18" s="1"/>
      <c r="Y18" s="1"/>
      <c r="Z18" s="1"/>
      <c r="AA18" s="1"/>
    </row>
    <row r="19" spans="1:27"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x14ac:dyDescent="0.25">
      <c r="A22" s="1"/>
      <c r="B22" s="1"/>
      <c r="C22" s="1"/>
      <c r="D22" s="1"/>
      <c r="E22" s="9">
        <f>E18/D18</f>
        <v>0.84997875053123695</v>
      </c>
      <c r="F22" s="1"/>
      <c r="G22" s="1"/>
      <c r="H22" s="1"/>
      <c r="I22" s="1"/>
      <c r="J22" s="1"/>
      <c r="K22" s="1"/>
      <c r="L22" s="1"/>
      <c r="M22" s="1"/>
      <c r="N22" s="1"/>
      <c r="O22" s="1"/>
      <c r="P22" s="1"/>
      <c r="Q22" s="1"/>
      <c r="R22" s="1"/>
      <c r="S22" s="1"/>
      <c r="T22" s="1"/>
      <c r="U22" s="1"/>
      <c r="V22" s="1"/>
      <c r="W22" s="1"/>
      <c r="X22" s="1"/>
      <c r="Y22" s="1"/>
      <c r="Z22" s="1"/>
      <c r="AA22" s="1"/>
    </row>
    <row r="23" spans="1:27" x14ac:dyDescent="0.25">
      <c r="A23" s="1"/>
      <c r="B23" s="1"/>
      <c r="C23" s="1"/>
      <c r="D23" s="1"/>
      <c r="E23" s="9"/>
      <c r="F23" s="1"/>
      <c r="G23" s="1"/>
      <c r="H23" s="1"/>
      <c r="I23" s="1"/>
      <c r="J23" s="1"/>
      <c r="K23" s="1"/>
      <c r="L23" s="1"/>
      <c r="M23" s="1"/>
      <c r="N23" s="1"/>
      <c r="O23" s="1"/>
      <c r="P23" s="1"/>
      <c r="Q23" s="1"/>
      <c r="R23" s="1"/>
      <c r="S23" s="1"/>
      <c r="T23" s="1"/>
      <c r="U23" s="1"/>
      <c r="V23" s="1"/>
      <c r="W23" s="1"/>
      <c r="X23" s="1"/>
      <c r="Y23" s="1"/>
      <c r="Z23" s="1"/>
      <c r="AA23" s="1"/>
    </row>
    <row r="24" spans="1:27" x14ac:dyDescent="0.25">
      <c r="A24" s="1"/>
      <c r="B24" s="1"/>
      <c r="C24" s="1"/>
      <c r="D24" s="1"/>
      <c r="E24" s="9">
        <v>0.85836909871244615</v>
      </c>
      <c r="F24" s="1"/>
      <c r="G24" s="1"/>
      <c r="H24" s="1"/>
      <c r="I24" s="1"/>
      <c r="J24" s="1"/>
      <c r="K24" s="1"/>
      <c r="L24" s="1"/>
      <c r="M24" s="1"/>
      <c r="N24" s="1"/>
      <c r="O24" s="1"/>
      <c r="P24" s="1"/>
      <c r="Q24" s="1"/>
      <c r="R24" s="1"/>
      <c r="S24" s="1"/>
      <c r="T24" s="1"/>
      <c r="U24" s="1"/>
      <c r="V24" s="1"/>
      <c r="W24" s="1"/>
      <c r="X24" s="1"/>
      <c r="Y24" s="1"/>
      <c r="Z24" s="1"/>
      <c r="AA24" s="1"/>
    </row>
    <row r="25" spans="1:27"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sheetData>
  <mergeCells count="39">
    <mergeCell ref="H10:H14"/>
    <mergeCell ref="I10:I14"/>
    <mergeCell ref="J10:J14"/>
    <mergeCell ref="A15:A16"/>
    <mergeCell ref="D15:D16"/>
    <mergeCell ref="E15:E16"/>
    <mergeCell ref="F15:F16"/>
    <mergeCell ref="G15:G16"/>
    <mergeCell ref="H15:H16"/>
    <mergeCell ref="I15:I16"/>
    <mergeCell ref="J15:J16"/>
    <mergeCell ref="A10:A14"/>
    <mergeCell ref="D10:D14"/>
    <mergeCell ref="E10:E14"/>
    <mergeCell ref="F10:F14"/>
    <mergeCell ref="G10:G14"/>
    <mergeCell ref="H6:H7"/>
    <mergeCell ref="I6:I7"/>
    <mergeCell ref="J6:J7"/>
    <mergeCell ref="A8:A9"/>
    <mergeCell ref="D8:D9"/>
    <mergeCell ref="E8:E9"/>
    <mergeCell ref="F8:F9"/>
    <mergeCell ref="G8:G9"/>
    <mergeCell ref="H8:H9"/>
    <mergeCell ref="I8:I9"/>
    <mergeCell ref="J8:J9"/>
    <mergeCell ref="A6:A7"/>
    <mergeCell ref="D6:D7"/>
    <mergeCell ref="E6:E7"/>
    <mergeCell ref="F6:F7"/>
    <mergeCell ref="G6:G7"/>
    <mergeCell ref="A1:J1"/>
    <mergeCell ref="A2:J2"/>
    <mergeCell ref="A3:J3"/>
    <mergeCell ref="B4:C4"/>
    <mergeCell ref="D4:F4"/>
    <mergeCell ref="G4:J4"/>
    <mergeCell ref="A4:A5"/>
  </mergeCells>
  <pageMargins left="0.39374999999999999" right="0.39374999999999999" top="0.39374999999999999" bottom="0.39374999999999999" header="0.39374999999999999" footer="0.39374999999999999"/>
  <pageSetup paperSize="9" scale="80" fitToWidth="0" pageOrder="overThenDown" orientation="landscape"/>
  <extLst>
    <ext uri="smNativeData">
      <pm:sheetPrefs xmlns:pm="smNativeData" day="1698359497"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6"/>
  <sheetViews>
    <sheetView workbookViewId="0">
      <selection activeCell="D36" sqref="D36"/>
    </sheetView>
  </sheetViews>
  <sheetFormatPr defaultColWidth="10" defaultRowHeight="12.5" x14ac:dyDescent="0.25"/>
  <cols>
    <col min="1" max="1" width="23.54296875" customWidth="1"/>
    <col min="2" max="2" width="16.453125" customWidth="1"/>
    <col min="3" max="3" width="16.81640625" customWidth="1"/>
    <col min="4" max="6" width="16.453125" customWidth="1"/>
    <col min="7" max="7" width="18.453125" customWidth="1"/>
    <col min="8" max="8" width="13.453125" customWidth="1"/>
    <col min="10" max="11" width="11.54296875" customWidth="1"/>
  </cols>
  <sheetData>
    <row r="1" spans="1:25" x14ac:dyDescent="0.25">
      <c r="A1" s="292" t="s">
        <v>0</v>
      </c>
      <c r="B1" s="292"/>
      <c r="C1" s="292"/>
      <c r="D1" s="292"/>
      <c r="E1" s="292"/>
      <c r="F1" s="292"/>
      <c r="G1" s="292"/>
      <c r="H1" s="292"/>
      <c r="I1" s="1"/>
      <c r="J1" s="1"/>
      <c r="K1" s="1"/>
      <c r="L1" s="1"/>
      <c r="M1" s="1"/>
      <c r="N1" s="1"/>
      <c r="O1" s="1"/>
      <c r="P1" s="1"/>
      <c r="Q1" s="1"/>
      <c r="R1" s="1"/>
      <c r="S1" s="1"/>
      <c r="T1" s="1"/>
      <c r="U1" s="1"/>
      <c r="V1" s="1"/>
      <c r="W1" s="1"/>
      <c r="X1" s="1"/>
      <c r="Y1" s="1"/>
    </row>
    <row r="2" spans="1:25" x14ac:dyDescent="0.25">
      <c r="A2" s="293" t="s">
        <v>1</v>
      </c>
      <c r="B2" s="293"/>
      <c r="C2" s="293"/>
      <c r="D2" s="293"/>
      <c r="E2" s="293"/>
      <c r="F2" s="293"/>
      <c r="G2" s="293"/>
      <c r="H2" s="293"/>
      <c r="I2" s="1"/>
      <c r="J2" s="1"/>
      <c r="K2" s="1"/>
      <c r="L2" s="1"/>
      <c r="M2" s="1"/>
      <c r="N2" s="1"/>
      <c r="O2" s="1"/>
      <c r="P2" s="1"/>
      <c r="Q2" s="1"/>
      <c r="R2" s="1"/>
      <c r="S2" s="1"/>
      <c r="T2" s="1"/>
      <c r="U2" s="1"/>
      <c r="V2" s="1"/>
      <c r="W2" s="1"/>
      <c r="X2" s="1"/>
      <c r="Y2" s="1"/>
    </row>
    <row r="3" spans="1:25" x14ac:dyDescent="0.25">
      <c r="A3" s="294" t="s">
        <v>2</v>
      </c>
      <c r="B3" s="295"/>
      <c r="C3" s="295"/>
      <c r="D3" s="295"/>
      <c r="E3" s="295"/>
      <c r="F3" s="295"/>
      <c r="G3" s="295"/>
      <c r="H3" s="295"/>
      <c r="I3" s="1"/>
      <c r="J3" s="1"/>
      <c r="K3" s="1"/>
      <c r="L3" s="1"/>
      <c r="M3" s="1"/>
      <c r="N3" s="1"/>
      <c r="O3" s="1"/>
      <c r="P3" s="1"/>
      <c r="Q3" s="1"/>
      <c r="R3" s="1"/>
      <c r="S3" s="1"/>
      <c r="T3" s="1"/>
      <c r="U3" s="1"/>
      <c r="V3" s="1"/>
      <c r="W3" s="1"/>
      <c r="X3" s="1"/>
      <c r="Y3" s="1"/>
    </row>
    <row r="4" spans="1:25" ht="15" customHeight="1" x14ac:dyDescent="0.25">
      <c r="A4" s="296" t="s">
        <v>25</v>
      </c>
      <c r="B4" s="296" t="s">
        <v>5</v>
      </c>
      <c r="C4" s="296"/>
      <c r="D4" s="296"/>
      <c r="E4" s="297" t="s">
        <v>10</v>
      </c>
      <c r="F4" s="298"/>
      <c r="G4" s="298"/>
      <c r="H4" s="299"/>
      <c r="I4" s="1"/>
      <c r="J4" s="9"/>
      <c r="K4" s="9">
        <v>0.85</v>
      </c>
      <c r="L4" s="9">
        <v>0.15</v>
      </c>
      <c r="M4" s="1"/>
      <c r="N4" s="1"/>
      <c r="O4" s="1"/>
      <c r="P4" s="1"/>
      <c r="Q4" s="1"/>
      <c r="R4" s="1"/>
      <c r="S4" s="1"/>
      <c r="T4" s="1"/>
      <c r="U4" s="1"/>
      <c r="V4" s="1"/>
      <c r="W4" s="1"/>
      <c r="X4" s="1"/>
      <c r="Y4" s="1"/>
    </row>
    <row r="5" spans="1:25" ht="57.65" customHeight="1" x14ac:dyDescent="0.25">
      <c r="A5" s="300"/>
      <c r="B5" s="2" t="s">
        <v>9</v>
      </c>
      <c r="C5" s="2" t="s">
        <v>10</v>
      </c>
      <c r="D5" s="2" t="s">
        <v>11</v>
      </c>
      <c r="E5" s="2">
        <v>2024</v>
      </c>
      <c r="F5" s="2">
        <v>2025</v>
      </c>
      <c r="G5" s="2">
        <v>2026</v>
      </c>
      <c r="H5" s="2">
        <v>2027</v>
      </c>
      <c r="I5" s="1"/>
      <c r="J5" s="9"/>
      <c r="K5" s="9">
        <f>C11/B11</f>
        <v>0.84967320261437895</v>
      </c>
      <c r="L5" s="9"/>
      <c r="M5" s="1"/>
      <c r="N5" s="1"/>
      <c r="O5" s="1"/>
      <c r="P5" s="1"/>
      <c r="Q5" s="1"/>
      <c r="R5" s="1"/>
      <c r="S5" s="1"/>
      <c r="T5" s="1"/>
      <c r="U5" s="1"/>
      <c r="V5" s="1"/>
      <c r="W5" s="1"/>
      <c r="X5" s="1"/>
      <c r="Y5" s="1"/>
    </row>
    <row r="6" spans="1:25" ht="13" x14ac:dyDescent="0.25">
      <c r="A6" s="6" t="s">
        <v>26</v>
      </c>
      <c r="B6" s="4">
        <v>22000000</v>
      </c>
      <c r="C6" s="4">
        <f>B6*$K$4</f>
        <v>18700000</v>
      </c>
      <c r="D6" s="4">
        <f>B6*$L$4</f>
        <v>3300000</v>
      </c>
      <c r="E6" s="4">
        <v>3000000</v>
      </c>
      <c r="F6" s="4">
        <v>5000000</v>
      </c>
      <c r="G6" s="4">
        <v>5000000</v>
      </c>
      <c r="H6" s="4">
        <f t="shared" ref="H6:H11" si="0">C6-E6-F6-G6</f>
        <v>5700000</v>
      </c>
      <c r="I6" s="1"/>
      <c r="J6" s="7"/>
      <c r="K6" s="1"/>
      <c r="L6" s="1"/>
      <c r="M6" s="1"/>
      <c r="N6" s="1"/>
      <c r="O6" s="1"/>
      <c r="P6" s="1"/>
      <c r="Q6" s="1"/>
      <c r="R6" s="1"/>
      <c r="S6" s="1"/>
      <c r="T6" s="1"/>
      <c r="U6" s="1"/>
      <c r="V6" s="1"/>
      <c r="W6" s="1"/>
      <c r="X6" s="1"/>
      <c r="Y6" s="1"/>
    </row>
    <row r="7" spans="1:25" ht="13" x14ac:dyDescent="0.25">
      <c r="A7" s="6" t="s">
        <v>27</v>
      </c>
      <c r="B7" s="4">
        <v>6000000</v>
      </c>
      <c r="C7" s="4">
        <f>B7*$K$4</f>
        <v>5100000</v>
      </c>
      <c r="D7" s="4">
        <f>B7*$L$4</f>
        <v>900000</v>
      </c>
      <c r="E7" s="4">
        <v>1000000</v>
      </c>
      <c r="F7" s="4">
        <v>1500000</v>
      </c>
      <c r="G7" s="4">
        <v>1500000</v>
      </c>
      <c r="H7" s="4">
        <f t="shared" si="0"/>
        <v>1100000</v>
      </c>
      <c r="I7" s="1"/>
      <c r="J7" s="1"/>
      <c r="K7" s="1"/>
      <c r="L7" s="1"/>
      <c r="M7" s="1"/>
      <c r="N7" s="1"/>
      <c r="O7" s="1"/>
      <c r="P7" s="1"/>
      <c r="Q7" s="1"/>
      <c r="R7" s="1"/>
      <c r="S7" s="1"/>
      <c r="T7" s="1"/>
      <c r="U7" s="1"/>
      <c r="V7" s="1"/>
      <c r="W7" s="1"/>
      <c r="X7" s="1"/>
      <c r="Y7" s="1"/>
    </row>
    <row r="8" spans="1:25" ht="13" x14ac:dyDescent="0.25">
      <c r="A8" s="6" t="s">
        <v>28</v>
      </c>
      <c r="B8" s="4">
        <v>2500000</v>
      </c>
      <c r="C8" s="4">
        <f>B8*$K$4</f>
        <v>2125000</v>
      </c>
      <c r="D8" s="4">
        <f>B8*$L$4</f>
        <v>375000</v>
      </c>
      <c r="E8" s="4">
        <v>500000</v>
      </c>
      <c r="F8" s="4">
        <v>500000</v>
      </c>
      <c r="G8" s="4">
        <v>500000</v>
      </c>
      <c r="H8" s="4">
        <f t="shared" si="0"/>
        <v>625000</v>
      </c>
      <c r="I8" s="1"/>
      <c r="J8" s="1"/>
      <c r="K8" s="1"/>
      <c r="L8" s="1"/>
      <c r="M8" s="1"/>
      <c r="N8" s="1"/>
      <c r="O8" s="1"/>
      <c r="P8" s="1"/>
      <c r="Q8" s="1"/>
      <c r="R8" s="1"/>
      <c r="S8" s="1"/>
      <c r="T8" s="1"/>
      <c r="U8" s="1"/>
      <c r="V8" s="1"/>
      <c r="W8" s="1"/>
      <c r="X8" s="1"/>
      <c r="Y8" s="1"/>
    </row>
    <row r="9" spans="1:25" ht="13" x14ac:dyDescent="0.25">
      <c r="A9" s="6" t="s">
        <v>29</v>
      </c>
      <c r="B9" s="4">
        <v>8000000</v>
      </c>
      <c r="C9" s="4">
        <f>B9*$K$4</f>
        <v>6800000</v>
      </c>
      <c r="D9" s="4">
        <f>B9*$L$4</f>
        <v>1200000</v>
      </c>
      <c r="E9" s="4">
        <v>800000</v>
      </c>
      <c r="F9" s="4">
        <v>2000000</v>
      </c>
      <c r="G9" s="4">
        <v>2000000</v>
      </c>
      <c r="H9" s="4">
        <f t="shared" si="0"/>
        <v>2000000</v>
      </c>
      <c r="I9" s="1"/>
      <c r="J9" s="1"/>
      <c r="K9" s="1"/>
      <c r="L9" s="1"/>
      <c r="M9" s="1"/>
      <c r="N9" s="1"/>
      <c r="O9" s="1"/>
      <c r="P9" s="1"/>
      <c r="Q9" s="1"/>
      <c r="R9" s="1"/>
      <c r="S9" s="1"/>
      <c r="T9" s="1"/>
      <c r="U9" s="1"/>
      <c r="V9" s="1"/>
      <c r="W9" s="1"/>
      <c r="X9" s="1"/>
      <c r="Y9" s="1"/>
    </row>
    <row r="10" spans="1:25" ht="13" x14ac:dyDescent="0.25">
      <c r="A10" s="6" t="s">
        <v>30</v>
      </c>
      <c r="B10" s="4">
        <v>5500000</v>
      </c>
      <c r="C10" s="4">
        <f>B10*$K$4</f>
        <v>4675000</v>
      </c>
      <c r="D10" s="4">
        <f>B10*$L$4</f>
        <v>825000</v>
      </c>
      <c r="E10" s="4">
        <v>0</v>
      </c>
      <c r="F10" s="4">
        <v>0</v>
      </c>
      <c r="G10" s="4">
        <v>2500000</v>
      </c>
      <c r="H10" s="4">
        <f t="shared" si="0"/>
        <v>2175000</v>
      </c>
      <c r="I10" s="1"/>
      <c r="J10" s="1"/>
      <c r="K10" s="1"/>
      <c r="L10" s="1"/>
      <c r="M10" s="1"/>
      <c r="N10" s="1"/>
      <c r="O10" s="1"/>
      <c r="P10" s="1"/>
      <c r="Q10" s="1"/>
      <c r="R10" s="1"/>
      <c r="S10" s="1"/>
      <c r="T10" s="1"/>
      <c r="U10" s="1"/>
      <c r="V10" s="1"/>
      <c r="W10" s="1"/>
      <c r="X10" s="1"/>
      <c r="Y10" s="1"/>
    </row>
    <row r="11" spans="1:25" ht="13" x14ac:dyDescent="0.25">
      <c r="A11" s="6" t="s">
        <v>31</v>
      </c>
      <c r="B11" s="4">
        <f>C11+D11</f>
        <v>3060000</v>
      </c>
      <c r="C11" s="4">
        <v>2600000</v>
      </c>
      <c r="D11" s="4">
        <f>'IPA III 2024-2027 Actions'!F17</f>
        <v>460000</v>
      </c>
      <c r="E11" s="4">
        <v>700000</v>
      </c>
      <c r="F11" s="4">
        <v>700000</v>
      </c>
      <c r="G11" s="8">
        <v>700000</v>
      </c>
      <c r="H11" s="8">
        <f t="shared" si="0"/>
        <v>500000</v>
      </c>
      <c r="I11" s="1"/>
      <c r="J11" s="1"/>
      <c r="K11" s="1"/>
      <c r="L11" s="1"/>
      <c r="M11" s="1"/>
      <c r="N11" s="1"/>
      <c r="O11" s="1"/>
      <c r="P11" s="1"/>
      <c r="Q11" s="1"/>
      <c r="R11" s="1"/>
      <c r="S11" s="1"/>
      <c r="T11" s="1"/>
      <c r="U11" s="1"/>
      <c r="V11" s="1"/>
      <c r="W11" s="1"/>
      <c r="X11" s="1"/>
      <c r="Y11" s="1"/>
    </row>
    <row r="12" spans="1:25" ht="15.75" customHeight="1" x14ac:dyDescent="0.25">
      <c r="A12" s="3" t="s">
        <v>24</v>
      </c>
      <c r="B12" s="5">
        <f t="shared" ref="B12:H12" si="1">B6+B7+B8+B9+B10+B11</f>
        <v>47060000</v>
      </c>
      <c r="C12" s="5">
        <f t="shared" si="1"/>
        <v>40000000</v>
      </c>
      <c r="D12" s="5">
        <f t="shared" si="1"/>
        <v>7060000</v>
      </c>
      <c r="E12" s="5">
        <f t="shared" si="1"/>
        <v>6000000</v>
      </c>
      <c r="F12" s="5">
        <f t="shared" si="1"/>
        <v>9700000</v>
      </c>
      <c r="G12" s="5">
        <f t="shared" si="1"/>
        <v>12200000</v>
      </c>
      <c r="H12" s="5">
        <f t="shared" si="1"/>
        <v>12100000</v>
      </c>
      <c r="I12" s="1"/>
      <c r="J12" s="1"/>
      <c r="K12" s="1"/>
      <c r="L12" s="1"/>
      <c r="M12" s="1"/>
      <c r="N12" s="1"/>
      <c r="O12" s="1"/>
      <c r="P12" s="1"/>
      <c r="Q12" s="1"/>
      <c r="R12" s="1"/>
      <c r="S12" s="1"/>
      <c r="T12" s="1"/>
      <c r="U12" s="1"/>
      <c r="V12" s="1"/>
      <c r="W12" s="1"/>
      <c r="X12" s="1"/>
      <c r="Y12" s="1"/>
    </row>
    <row r="13" spans="1:25" x14ac:dyDescent="0.25">
      <c r="A13" s="1"/>
      <c r="B13" s="1"/>
      <c r="C13" s="1"/>
      <c r="D13" s="1"/>
      <c r="E13" s="1"/>
      <c r="F13" s="1"/>
      <c r="G13" s="1"/>
      <c r="H13" s="1"/>
      <c r="I13" s="1"/>
      <c r="J13" s="1"/>
      <c r="K13" s="1"/>
      <c r="L13" s="1"/>
      <c r="M13" s="1"/>
      <c r="N13" s="1"/>
      <c r="O13" s="1"/>
      <c r="P13" s="1"/>
      <c r="Q13" s="1"/>
      <c r="R13" s="1"/>
      <c r="S13" s="1"/>
      <c r="T13" s="1"/>
      <c r="U13" s="1"/>
      <c r="V13" s="1"/>
      <c r="W13" s="1"/>
      <c r="X13" s="1"/>
      <c r="Y13" s="1"/>
    </row>
    <row r="14" spans="1:25" x14ac:dyDescent="0.25">
      <c r="A14" s="1"/>
      <c r="B14" s="1"/>
      <c r="C14" s="1"/>
      <c r="D14" s="1"/>
      <c r="E14" s="1"/>
      <c r="F14" s="1"/>
      <c r="G14" s="1"/>
      <c r="H14" s="1"/>
      <c r="I14" s="1"/>
      <c r="J14" s="1"/>
      <c r="K14" s="1"/>
      <c r="L14" s="1"/>
      <c r="M14" s="1"/>
      <c r="N14" s="1"/>
      <c r="O14" s="1"/>
      <c r="P14" s="1"/>
      <c r="Q14" s="1"/>
      <c r="R14" s="1"/>
      <c r="S14" s="1"/>
      <c r="T14" s="1"/>
      <c r="U14" s="1"/>
      <c r="V14" s="1"/>
      <c r="W14" s="1"/>
      <c r="X14" s="1"/>
      <c r="Y14" s="1"/>
    </row>
    <row r="15" spans="1:25" x14ac:dyDescent="0.25">
      <c r="A15" s="1"/>
      <c r="B15" s="1"/>
      <c r="C15" s="1"/>
      <c r="D15" s="1"/>
      <c r="E15" s="1"/>
      <c r="F15" s="1"/>
      <c r="G15" s="1"/>
      <c r="H15" s="1"/>
      <c r="I15" s="1"/>
      <c r="J15" s="1"/>
      <c r="K15" s="1"/>
      <c r="L15" s="1"/>
      <c r="M15" s="1"/>
      <c r="N15" s="1"/>
      <c r="O15" s="1"/>
      <c r="P15" s="1"/>
      <c r="Q15" s="1"/>
      <c r="R15" s="1"/>
      <c r="S15" s="1"/>
      <c r="T15" s="1"/>
      <c r="U15" s="1"/>
      <c r="V15" s="1"/>
      <c r="W15" s="1"/>
      <c r="X15" s="1"/>
      <c r="Y15" s="1"/>
    </row>
    <row r="16" spans="1:25" ht="12.75" customHeight="1" x14ac:dyDescent="0.25">
      <c r="A16" s="1"/>
      <c r="B16" s="1"/>
      <c r="C16" s="1"/>
      <c r="D16" s="1"/>
      <c r="E16" s="297" t="s">
        <v>32</v>
      </c>
      <c r="F16" s="298"/>
      <c r="G16" s="298"/>
      <c r="H16" s="299"/>
      <c r="I16" s="1"/>
      <c r="J16" s="1"/>
      <c r="K16" s="1"/>
      <c r="L16" s="1"/>
      <c r="M16" s="1"/>
      <c r="N16" s="1"/>
      <c r="O16" s="1"/>
      <c r="P16" s="1"/>
      <c r="Q16" s="1"/>
      <c r="R16" s="1"/>
      <c r="S16" s="1"/>
      <c r="T16" s="1"/>
      <c r="U16" s="1"/>
      <c r="V16" s="1"/>
      <c r="W16" s="1"/>
      <c r="X16" s="1"/>
      <c r="Y16" s="1"/>
    </row>
    <row r="17" spans="1:25" x14ac:dyDescent="0.25">
      <c r="A17" s="1"/>
      <c r="B17" s="1"/>
      <c r="C17" s="1"/>
      <c r="D17" s="1"/>
      <c r="E17" s="2">
        <v>2024</v>
      </c>
      <c r="F17" s="2">
        <v>2025</v>
      </c>
      <c r="G17" s="2">
        <v>2026</v>
      </c>
      <c r="H17" s="2">
        <v>2027</v>
      </c>
      <c r="I17" s="1"/>
      <c r="J17" s="1"/>
      <c r="K17" s="1"/>
      <c r="L17" s="1"/>
      <c r="M17" s="1"/>
      <c r="N17" s="1"/>
      <c r="O17" s="1"/>
      <c r="P17" s="1"/>
      <c r="Q17" s="1"/>
      <c r="R17" s="1"/>
      <c r="S17" s="1"/>
      <c r="T17" s="1"/>
      <c r="U17" s="1"/>
      <c r="V17" s="1"/>
      <c r="W17" s="1"/>
      <c r="X17" s="1"/>
      <c r="Y17" s="1"/>
    </row>
    <row r="18" spans="1:25" x14ac:dyDescent="0.25">
      <c r="A18" s="1"/>
      <c r="B18" s="1"/>
      <c r="C18" s="1"/>
      <c r="D18" s="1"/>
      <c r="E18" s="4">
        <f t="shared" ref="E18:H22" si="2">E6/$K$4</f>
        <v>3529412</v>
      </c>
      <c r="F18" s="4">
        <f t="shared" si="2"/>
        <v>5882353</v>
      </c>
      <c r="G18" s="4">
        <f t="shared" si="2"/>
        <v>5882353</v>
      </c>
      <c r="H18" s="4">
        <f t="shared" si="2"/>
        <v>6705882</v>
      </c>
      <c r="I18" s="1"/>
      <c r="J18" s="1"/>
      <c r="K18" s="1"/>
      <c r="L18" s="1"/>
      <c r="M18" s="1"/>
      <c r="N18" s="1"/>
      <c r="O18" s="1"/>
      <c r="P18" s="1"/>
      <c r="Q18" s="1"/>
      <c r="R18" s="1"/>
      <c r="S18" s="1"/>
      <c r="T18" s="1"/>
      <c r="U18" s="1"/>
      <c r="V18" s="1"/>
      <c r="W18" s="1"/>
      <c r="X18" s="1"/>
      <c r="Y18" s="1"/>
    </row>
    <row r="19" spans="1:25" x14ac:dyDescent="0.25">
      <c r="A19" s="1"/>
      <c r="B19" s="1"/>
      <c r="C19" s="1"/>
      <c r="D19" s="1"/>
      <c r="E19" s="4">
        <f t="shared" si="2"/>
        <v>1176471</v>
      </c>
      <c r="F19" s="4">
        <f t="shared" si="2"/>
        <v>1764706</v>
      </c>
      <c r="G19" s="4">
        <f t="shared" si="2"/>
        <v>1764706</v>
      </c>
      <c r="H19" s="4">
        <f t="shared" si="2"/>
        <v>1294118</v>
      </c>
      <c r="I19" s="1"/>
      <c r="J19" s="1"/>
      <c r="K19" s="1"/>
      <c r="L19" s="1"/>
      <c r="M19" s="1"/>
      <c r="N19" s="1"/>
      <c r="O19" s="1"/>
      <c r="P19" s="1"/>
      <c r="Q19" s="1"/>
      <c r="R19" s="1"/>
      <c r="S19" s="1"/>
      <c r="T19" s="1"/>
      <c r="U19" s="1"/>
      <c r="V19" s="1"/>
      <c r="W19" s="1"/>
      <c r="X19" s="1"/>
      <c r="Y19" s="1"/>
    </row>
    <row r="20" spans="1:25" x14ac:dyDescent="0.25">
      <c r="A20" s="1"/>
      <c r="B20" s="1"/>
      <c r="C20" s="1"/>
      <c r="D20" s="1"/>
      <c r="E20" s="4">
        <f t="shared" si="2"/>
        <v>588235</v>
      </c>
      <c r="F20" s="4">
        <f t="shared" si="2"/>
        <v>588235</v>
      </c>
      <c r="G20" s="4">
        <f t="shared" si="2"/>
        <v>588235</v>
      </c>
      <c r="H20" s="4">
        <f t="shared" si="2"/>
        <v>735294</v>
      </c>
      <c r="I20" s="1"/>
      <c r="J20" s="1"/>
      <c r="K20" s="1"/>
      <c r="L20" s="1"/>
      <c r="M20" s="1"/>
      <c r="N20" s="1"/>
      <c r="O20" s="1"/>
      <c r="P20" s="1"/>
      <c r="Q20" s="1"/>
      <c r="R20" s="1"/>
      <c r="S20" s="1"/>
      <c r="T20" s="1"/>
      <c r="U20" s="1"/>
      <c r="V20" s="1"/>
      <c r="W20" s="1"/>
      <c r="X20" s="1"/>
      <c r="Y20" s="1"/>
    </row>
    <row r="21" spans="1:25" x14ac:dyDescent="0.25">
      <c r="A21" s="1"/>
      <c r="B21" s="1"/>
      <c r="C21" s="1"/>
      <c r="D21" s="1"/>
      <c r="E21" s="4">
        <f t="shared" si="2"/>
        <v>941176</v>
      </c>
      <c r="F21" s="4">
        <f t="shared" si="2"/>
        <v>2352941</v>
      </c>
      <c r="G21" s="4">
        <f t="shared" si="2"/>
        <v>2352941</v>
      </c>
      <c r="H21" s="4">
        <f t="shared" si="2"/>
        <v>2352941</v>
      </c>
      <c r="I21" s="1"/>
      <c r="J21" s="1"/>
      <c r="K21" s="1"/>
      <c r="L21" s="1"/>
      <c r="M21" s="1"/>
      <c r="N21" s="1"/>
      <c r="O21" s="1"/>
      <c r="P21" s="1"/>
      <c r="Q21" s="1"/>
      <c r="R21" s="1"/>
      <c r="S21" s="1"/>
      <c r="T21" s="1"/>
      <c r="U21" s="1"/>
      <c r="V21" s="1"/>
      <c r="W21" s="1"/>
      <c r="X21" s="1"/>
      <c r="Y21" s="1"/>
    </row>
    <row r="22" spans="1:25" x14ac:dyDescent="0.25">
      <c r="A22" s="1"/>
      <c r="B22" s="1"/>
      <c r="C22" s="1"/>
      <c r="D22" s="1"/>
      <c r="E22" s="4">
        <f t="shared" si="2"/>
        <v>0</v>
      </c>
      <c r="F22" s="4">
        <f t="shared" si="2"/>
        <v>0</v>
      </c>
      <c r="G22" s="4">
        <f t="shared" si="2"/>
        <v>2941176</v>
      </c>
      <c r="H22" s="4">
        <f t="shared" si="2"/>
        <v>2558824</v>
      </c>
      <c r="I22" s="1"/>
      <c r="J22" s="1"/>
      <c r="K22" s="1"/>
      <c r="L22" s="1"/>
      <c r="M22" s="1"/>
      <c r="N22" s="1"/>
      <c r="O22" s="1"/>
      <c r="P22" s="1"/>
      <c r="Q22" s="1"/>
      <c r="R22" s="1"/>
      <c r="S22" s="1"/>
      <c r="T22" s="1"/>
      <c r="U22" s="1"/>
      <c r="V22" s="1"/>
      <c r="W22" s="1"/>
      <c r="X22" s="1"/>
      <c r="Y22" s="1"/>
    </row>
    <row r="23" spans="1:25" x14ac:dyDescent="0.25">
      <c r="A23" s="1"/>
      <c r="B23" s="1"/>
      <c r="C23" s="1"/>
      <c r="D23" s="1"/>
      <c r="E23" s="4">
        <f>E11/$K$5</f>
        <v>823846</v>
      </c>
      <c r="F23" s="4">
        <f>F11/$K$5</f>
        <v>823846</v>
      </c>
      <c r="G23" s="4">
        <f>G11/$K$5</f>
        <v>823846</v>
      </c>
      <c r="H23" s="4">
        <f>H11/$K$5</f>
        <v>588462</v>
      </c>
      <c r="I23" s="1"/>
      <c r="J23" s="1"/>
      <c r="K23" s="1"/>
      <c r="L23" s="1"/>
      <c r="M23" s="1"/>
      <c r="N23" s="1"/>
      <c r="O23" s="1"/>
      <c r="P23" s="1"/>
      <c r="Q23" s="1"/>
      <c r="R23" s="1"/>
      <c r="S23" s="1"/>
      <c r="T23" s="1"/>
      <c r="U23" s="1"/>
      <c r="V23" s="1"/>
      <c r="W23" s="1"/>
      <c r="X23" s="1"/>
      <c r="Y23" s="1"/>
    </row>
    <row r="24" spans="1:25" x14ac:dyDescent="0.25">
      <c r="A24" s="1"/>
      <c r="B24" s="1"/>
      <c r="C24" s="1"/>
      <c r="D24" s="1"/>
      <c r="E24" s="5">
        <f>E18+E19+E20+E21+E22+E23</f>
        <v>7059140</v>
      </c>
      <c r="F24" s="5">
        <f>F18+F19+F20+F21+F22+F23</f>
        <v>11412081</v>
      </c>
      <c r="G24" s="5">
        <f>G18+G19+G20+G21+G22+G23</f>
        <v>14353257</v>
      </c>
      <c r="H24" s="5">
        <f>H18+H19+H20+H21+H22+H23</f>
        <v>14235521</v>
      </c>
      <c r="I24" s="1"/>
      <c r="J24" s="1"/>
      <c r="K24" s="1"/>
      <c r="L24" s="1"/>
      <c r="M24" s="1"/>
      <c r="N24" s="1"/>
      <c r="O24" s="1"/>
      <c r="P24" s="1"/>
      <c r="Q24" s="1"/>
      <c r="R24" s="1"/>
      <c r="S24" s="1"/>
      <c r="T24" s="1"/>
      <c r="U24" s="1"/>
      <c r="V24" s="1"/>
      <c r="W24" s="1"/>
      <c r="X24" s="1"/>
      <c r="Y24" s="1"/>
    </row>
    <row r="25" spans="1:25" x14ac:dyDescent="0.25">
      <c r="A25" s="1"/>
      <c r="B25" s="1"/>
      <c r="C25" s="1"/>
      <c r="D25" s="1"/>
      <c r="E25" s="1"/>
      <c r="F25" s="1"/>
      <c r="G25" s="1"/>
      <c r="H25" s="1"/>
      <c r="I25" s="1"/>
      <c r="J25" s="1"/>
      <c r="K25" s="1"/>
      <c r="L25" s="1"/>
      <c r="M25" s="1"/>
      <c r="N25" s="1"/>
      <c r="O25" s="1"/>
      <c r="P25" s="1"/>
      <c r="Q25" s="1"/>
      <c r="R25" s="1"/>
      <c r="S25" s="1"/>
      <c r="T25" s="1"/>
      <c r="U25" s="1"/>
      <c r="V25" s="1"/>
      <c r="W25" s="1"/>
      <c r="X25" s="1"/>
      <c r="Y25" s="1"/>
    </row>
    <row r="26" spans="1:25" x14ac:dyDescent="0.25">
      <c r="A26" s="1"/>
      <c r="B26" s="1"/>
      <c r="C26" s="1"/>
      <c r="D26" s="1"/>
      <c r="E26" s="1"/>
      <c r="F26" s="1"/>
      <c r="G26" s="1"/>
      <c r="H26" s="1"/>
      <c r="I26" s="1"/>
      <c r="J26" s="1"/>
      <c r="K26" s="1"/>
      <c r="L26" s="1"/>
      <c r="M26" s="1"/>
      <c r="N26" s="1"/>
      <c r="O26" s="1"/>
      <c r="P26" s="1"/>
      <c r="Q26" s="1"/>
      <c r="R26" s="1"/>
      <c r="S26" s="1"/>
      <c r="T26" s="1"/>
      <c r="U26" s="1"/>
      <c r="V26" s="1"/>
      <c r="W26" s="1"/>
      <c r="X26" s="1"/>
      <c r="Y26" s="1"/>
    </row>
    <row r="27" spans="1:25" x14ac:dyDescent="0.25">
      <c r="A27" s="1"/>
      <c r="B27" s="1"/>
      <c r="C27" s="1"/>
      <c r="D27" s="1"/>
      <c r="E27" s="1"/>
      <c r="F27" s="1"/>
      <c r="G27" s="1"/>
      <c r="H27" s="1"/>
      <c r="I27" s="1"/>
      <c r="J27" s="1"/>
      <c r="K27" s="1"/>
      <c r="L27" s="1"/>
      <c r="M27" s="1"/>
      <c r="N27" s="1"/>
      <c r="O27" s="1"/>
      <c r="P27" s="1"/>
      <c r="Q27" s="1"/>
      <c r="R27" s="1"/>
      <c r="S27" s="1"/>
      <c r="T27" s="1"/>
      <c r="U27" s="1"/>
      <c r="V27" s="1"/>
      <c r="W27" s="1"/>
      <c r="X27" s="1"/>
      <c r="Y27" s="1"/>
    </row>
    <row r="28" spans="1:25" x14ac:dyDescent="0.25">
      <c r="A28" s="1"/>
      <c r="B28" s="1"/>
      <c r="C28" s="1"/>
      <c r="D28" s="1"/>
      <c r="E28" s="1"/>
      <c r="F28" s="1"/>
      <c r="G28" s="1"/>
      <c r="H28" s="1"/>
      <c r="I28" s="1"/>
      <c r="J28" s="1"/>
      <c r="K28" s="1"/>
      <c r="L28" s="1"/>
      <c r="M28" s="1"/>
      <c r="N28" s="1"/>
      <c r="O28" s="1"/>
      <c r="P28" s="1"/>
      <c r="Q28" s="1"/>
      <c r="R28" s="1"/>
      <c r="S28" s="1"/>
      <c r="T28" s="1"/>
      <c r="U28" s="1"/>
      <c r="V28" s="1"/>
      <c r="W28" s="1"/>
      <c r="X28" s="1"/>
      <c r="Y28" s="1"/>
    </row>
    <row r="29" spans="1:25" x14ac:dyDescent="0.25">
      <c r="A29" s="1"/>
      <c r="B29" s="1"/>
      <c r="C29" s="1"/>
      <c r="D29" s="1"/>
      <c r="E29" s="1"/>
      <c r="F29" s="1"/>
      <c r="G29" s="1"/>
      <c r="H29" s="1"/>
      <c r="I29" s="1"/>
      <c r="J29" s="1"/>
      <c r="K29" s="1"/>
      <c r="L29" s="1"/>
      <c r="M29" s="1"/>
      <c r="N29" s="1"/>
      <c r="O29" s="1"/>
      <c r="P29" s="1"/>
      <c r="Q29" s="1"/>
      <c r="R29" s="1"/>
      <c r="S29" s="1"/>
      <c r="T29" s="1"/>
      <c r="U29" s="1"/>
      <c r="V29" s="1"/>
      <c r="W29" s="1"/>
      <c r="X29" s="1"/>
      <c r="Y29" s="1"/>
    </row>
    <row r="30" spans="1:25" x14ac:dyDescent="0.25">
      <c r="A30" s="1"/>
      <c r="B30" s="1"/>
      <c r="C30" s="1"/>
      <c r="D30" s="1"/>
      <c r="E30" s="1"/>
      <c r="F30" s="1"/>
      <c r="G30" s="1"/>
      <c r="H30" s="1"/>
      <c r="I30" s="1"/>
      <c r="J30" s="1"/>
      <c r="K30" s="1"/>
      <c r="L30" s="1"/>
      <c r="M30" s="1"/>
      <c r="N30" s="1"/>
      <c r="O30" s="1"/>
      <c r="P30" s="1"/>
      <c r="Q30" s="1"/>
      <c r="R30" s="1"/>
      <c r="S30" s="1"/>
      <c r="T30" s="1"/>
      <c r="U30" s="1"/>
      <c r="V30" s="1"/>
      <c r="W30" s="1"/>
      <c r="X30" s="1"/>
      <c r="Y30" s="1"/>
    </row>
    <row r="31" spans="1:25" x14ac:dyDescent="0.25">
      <c r="A31" s="1"/>
      <c r="B31" s="1"/>
      <c r="C31" s="1"/>
      <c r="D31" s="1"/>
      <c r="E31" s="1"/>
      <c r="F31" s="1"/>
      <c r="G31" s="1"/>
      <c r="H31" s="1"/>
      <c r="I31" s="1"/>
      <c r="J31" s="1"/>
      <c r="K31" s="1"/>
      <c r="L31" s="1"/>
      <c r="M31" s="1"/>
      <c r="N31" s="1"/>
      <c r="O31" s="1"/>
      <c r="P31" s="1"/>
      <c r="Q31" s="1"/>
      <c r="R31" s="1"/>
      <c r="S31" s="1"/>
      <c r="T31" s="1"/>
      <c r="U31" s="1"/>
      <c r="V31" s="1"/>
      <c r="W31" s="1"/>
      <c r="X31" s="1"/>
      <c r="Y31" s="1"/>
    </row>
    <row r="32" spans="1:25" x14ac:dyDescent="0.25">
      <c r="A32" s="1"/>
      <c r="B32" s="1"/>
      <c r="C32" s="1"/>
      <c r="D32" s="1"/>
      <c r="E32" s="1"/>
      <c r="F32" s="1"/>
      <c r="G32" s="1"/>
      <c r="H32" s="1"/>
      <c r="I32" s="1"/>
      <c r="J32" s="1"/>
      <c r="K32" s="1"/>
      <c r="L32" s="1"/>
      <c r="M32" s="1"/>
      <c r="N32" s="1"/>
      <c r="O32" s="1"/>
      <c r="P32" s="1"/>
      <c r="Q32" s="1"/>
      <c r="R32" s="1"/>
      <c r="S32" s="1"/>
      <c r="T32" s="1"/>
      <c r="U32" s="1"/>
      <c r="V32" s="1"/>
      <c r="W32" s="1"/>
      <c r="X32" s="1"/>
      <c r="Y32" s="1"/>
    </row>
    <row r="33" spans="1:25" x14ac:dyDescent="0.25">
      <c r="A33" s="1"/>
      <c r="B33" s="1"/>
      <c r="C33" s="1"/>
      <c r="D33" s="1"/>
      <c r="E33" s="1"/>
      <c r="F33" s="1"/>
      <c r="G33" s="1"/>
      <c r="H33" s="1"/>
      <c r="I33" s="1"/>
      <c r="J33" s="1"/>
      <c r="K33" s="1"/>
      <c r="L33" s="1"/>
      <c r="M33" s="1"/>
      <c r="N33" s="1"/>
      <c r="O33" s="1"/>
      <c r="P33" s="1"/>
      <c r="Q33" s="1"/>
      <c r="R33" s="1"/>
      <c r="S33" s="1"/>
      <c r="T33" s="1"/>
      <c r="U33" s="1"/>
      <c r="V33" s="1"/>
      <c r="W33" s="1"/>
      <c r="X33" s="1"/>
      <c r="Y33" s="1"/>
    </row>
    <row r="34" spans="1:25"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x14ac:dyDescent="0.25">
      <c r="A66" s="1"/>
      <c r="B66" s="1"/>
      <c r="C66" s="1"/>
      <c r="D66" s="1"/>
      <c r="E66" s="1"/>
      <c r="F66" s="1"/>
      <c r="G66" s="1"/>
      <c r="H66" s="1"/>
      <c r="I66" s="1"/>
      <c r="J66" s="1"/>
      <c r="K66" s="1"/>
      <c r="L66" s="1"/>
      <c r="M66" s="1"/>
      <c r="N66" s="1"/>
      <c r="O66" s="1"/>
      <c r="P66" s="1"/>
      <c r="Q66" s="1"/>
      <c r="R66" s="1"/>
      <c r="S66" s="1"/>
      <c r="T66" s="1"/>
      <c r="U66" s="1"/>
      <c r="V66" s="1"/>
      <c r="W66" s="1"/>
      <c r="X66" s="1"/>
      <c r="Y66" s="1"/>
    </row>
  </sheetData>
  <mergeCells count="7">
    <mergeCell ref="E16:H16"/>
    <mergeCell ref="A1:H1"/>
    <mergeCell ref="A2:H2"/>
    <mergeCell ref="A3:H3"/>
    <mergeCell ref="B4:D4"/>
    <mergeCell ref="E4:H4"/>
    <mergeCell ref="A4:A5"/>
  </mergeCells>
  <pageMargins left="0.39374999999999999" right="0.39374999999999999" top="0.39374999999999999" bottom="0.39374999999999999" header="0.39374999999999999" footer="0.39374999999999999"/>
  <pageSetup paperSize="9" scale="80" fitToWidth="0" pageOrder="overThenDown" orientation="landscape"/>
  <extLst>
    <ext uri="smNativeData">
      <pm:sheetPrefs xmlns:pm="smNativeData" day="1698359497" outlineProtect="1" showHorizontalRuler="1" showVerticalRuler="1" showAltShade="0">
        <pm:shade id="0" type="0" fgLvl="100" fgClr="000000" bgLvl="100" bgClr="FFFFFF"/>
        <pm:shade id="1" type="0" fgLvl="100" fgClr="000000" bgLvl="100" bgClr="FFFFFF"/>
      </pm:sheetP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395"/>
  <sheetViews>
    <sheetView tabSelected="1" zoomScale="70" workbookViewId="0">
      <pane xSplit="4" ySplit="6" topLeftCell="E21" activePane="bottomRight" state="frozen"/>
      <selection pane="topRight"/>
      <selection pane="bottomLeft"/>
      <selection pane="bottomRight" activeCell="AZ28" sqref="AZ28"/>
    </sheetView>
  </sheetViews>
  <sheetFormatPr defaultColWidth="10" defaultRowHeight="13" x14ac:dyDescent="0.3"/>
  <cols>
    <col min="1" max="1" width="18.1796875" customWidth="1"/>
    <col min="2" max="2" width="21.7265625" customWidth="1"/>
    <col min="3" max="3" width="25.7265625" style="31" customWidth="1"/>
    <col min="4" max="4" width="7.26953125" style="21" customWidth="1"/>
    <col min="5" max="5" width="17.7265625" customWidth="1"/>
    <col min="6" max="6" width="17" hidden="1" customWidth="1"/>
    <col min="7" max="8" width="13.54296875" customWidth="1"/>
    <col min="9" max="9" width="13.26953125" customWidth="1"/>
    <col min="10" max="10" width="11" customWidth="1"/>
    <col min="11" max="11" width="46.54296875" customWidth="1"/>
    <col min="12" max="12" width="17.453125" style="176" customWidth="1"/>
    <col min="13" max="13" width="15" customWidth="1"/>
    <col min="14" max="14" width="13.81640625" customWidth="1"/>
    <col min="15" max="15" width="14.1796875" customWidth="1"/>
    <col min="16" max="16" width="14.453125" customWidth="1"/>
    <col min="17" max="17" width="17.1796875" customWidth="1"/>
    <col min="18" max="18" width="16.453125" customWidth="1"/>
    <col min="19" max="20" width="15.81640625" customWidth="1"/>
    <col min="21" max="21" width="16.453125" customWidth="1"/>
    <col min="22" max="24" width="15.81640625" customWidth="1"/>
    <col min="25" max="25" width="22.6328125" customWidth="1"/>
    <col min="26" max="28" width="15.81640625" customWidth="1"/>
    <col min="29" max="29" width="18.453125" customWidth="1"/>
    <col min="30" max="30" width="16.7265625" customWidth="1"/>
    <col min="31" max="31" width="14.1796875" customWidth="1"/>
    <col min="32" max="32" width="15.1796875" customWidth="1"/>
    <col min="33" max="33" width="15.54296875" customWidth="1"/>
    <col min="34" max="34" width="15.7265625" customWidth="1"/>
    <col min="35" max="35" width="13.54296875" customWidth="1"/>
    <col min="36" max="36" width="18" customWidth="1"/>
    <col min="37" max="37" width="16.453125" customWidth="1"/>
    <col min="38" max="38" width="16.26953125" customWidth="1"/>
    <col min="39" max="39" width="15.81640625" customWidth="1"/>
    <col min="40" max="40" width="16.1796875" customWidth="1"/>
    <col min="41" max="41" width="15.81640625" customWidth="1"/>
    <col min="42" max="42" width="14.1796875" customWidth="1"/>
    <col min="43" max="52" width="15.81640625" customWidth="1"/>
  </cols>
  <sheetData>
    <row r="1" spans="1:64" ht="12.5" x14ac:dyDescent="0.25">
      <c r="A1" s="301" t="s">
        <v>33</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1"/>
      <c r="BB1" s="1"/>
      <c r="BC1" s="1"/>
      <c r="BD1" s="1"/>
      <c r="BE1" s="1"/>
      <c r="BF1" s="1"/>
      <c r="BG1" s="1"/>
      <c r="BH1" s="1"/>
      <c r="BI1" s="1"/>
      <c r="BJ1" s="1"/>
      <c r="BK1" s="1"/>
      <c r="BL1" s="1"/>
    </row>
    <row r="2" spans="1:64" ht="12.5" x14ac:dyDescent="0.25">
      <c r="A2" s="303"/>
      <c r="B2" s="304"/>
      <c r="C2" s="304"/>
      <c r="D2" s="304"/>
      <c r="E2" s="304"/>
      <c r="F2" s="304"/>
      <c r="G2" s="304"/>
      <c r="H2" s="304"/>
      <c r="I2" s="304"/>
      <c r="J2" s="304"/>
      <c r="K2" s="304"/>
      <c r="L2" s="305"/>
      <c r="M2" s="305"/>
      <c r="N2" s="305"/>
      <c r="O2" s="305"/>
      <c r="P2" s="305"/>
      <c r="Q2" s="305"/>
      <c r="R2" s="305"/>
      <c r="S2" s="305"/>
      <c r="T2" s="305"/>
      <c r="U2" s="305"/>
      <c r="V2" s="305"/>
      <c r="W2" s="305"/>
      <c r="X2" s="305"/>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1"/>
      <c r="BB2" s="1"/>
      <c r="BC2" s="1"/>
      <c r="BD2" s="1"/>
      <c r="BE2" s="1"/>
      <c r="BF2" s="1"/>
      <c r="BG2" s="1"/>
      <c r="BH2" s="1"/>
      <c r="BI2" s="1"/>
      <c r="BJ2" s="1"/>
      <c r="BK2" s="1"/>
      <c r="BL2" s="1"/>
    </row>
    <row r="3" spans="1:64" ht="57" customHeight="1" x14ac:dyDescent="0.25">
      <c r="A3" s="319" t="s">
        <v>34</v>
      </c>
      <c r="B3" s="319" t="s">
        <v>35</v>
      </c>
      <c r="C3" s="319" t="s">
        <v>36</v>
      </c>
      <c r="D3" s="322" t="s">
        <v>37</v>
      </c>
      <c r="E3" s="306" t="s">
        <v>38</v>
      </c>
      <c r="F3" s="307"/>
      <c r="G3" s="307"/>
      <c r="H3" s="307"/>
      <c r="I3" s="307"/>
      <c r="J3" s="307"/>
      <c r="K3" s="307"/>
      <c r="L3" s="308" t="s">
        <v>5</v>
      </c>
      <c r="M3" s="309"/>
      <c r="N3" s="309"/>
      <c r="O3" s="309"/>
      <c r="P3" s="310"/>
      <c r="Q3" s="311" t="s">
        <v>39</v>
      </c>
      <c r="R3" s="311"/>
      <c r="S3" s="311"/>
      <c r="T3" s="311"/>
      <c r="U3" s="312"/>
      <c r="V3" s="312"/>
      <c r="W3" s="312"/>
      <c r="X3" s="313"/>
      <c r="Y3" s="314" t="s">
        <v>40</v>
      </c>
      <c r="Z3" s="314"/>
      <c r="AA3" s="314"/>
      <c r="AB3" s="314"/>
      <c r="AC3" s="315" t="s">
        <v>41</v>
      </c>
      <c r="AD3" s="315"/>
      <c r="AE3" s="315"/>
      <c r="AF3" s="315"/>
      <c r="AG3" s="316"/>
      <c r="AH3" s="316"/>
      <c r="AI3" s="316"/>
      <c r="AJ3" s="316"/>
      <c r="AK3" s="315" t="s">
        <v>42</v>
      </c>
      <c r="AL3" s="315"/>
      <c r="AM3" s="315"/>
      <c r="AN3" s="315"/>
      <c r="AO3" s="317" t="s">
        <v>43</v>
      </c>
      <c r="AP3" s="317"/>
      <c r="AQ3" s="317"/>
      <c r="AR3" s="317"/>
      <c r="AS3" s="318"/>
      <c r="AT3" s="318"/>
      <c r="AU3" s="318"/>
      <c r="AV3" s="318"/>
      <c r="AW3" s="315" t="s">
        <v>44</v>
      </c>
      <c r="AX3" s="315"/>
      <c r="AY3" s="315"/>
      <c r="AZ3" s="315"/>
      <c r="BA3" s="1"/>
      <c r="BB3" s="174" t="s">
        <v>45</v>
      </c>
      <c r="BC3" s="1"/>
      <c r="BD3" s="1"/>
      <c r="BE3" s="1"/>
      <c r="BF3" s="1"/>
      <c r="BG3" s="1"/>
      <c r="BH3" s="1"/>
      <c r="BI3" s="1"/>
      <c r="BJ3" s="1"/>
      <c r="BK3" s="1"/>
      <c r="BL3" s="1"/>
    </row>
    <row r="4" spans="1:64" ht="13.4" customHeight="1" x14ac:dyDescent="0.25">
      <c r="A4" s="320"/>
      <c r="B4" s="320"/>
      <c r="C4" s="320"/>
      <c r="D4" s="323"/>
      <c r="E4" s="325" t="s">
        <v>7</v>
      </c>
      <c r="F4" s="326"/>
      <c r="G4" s="319" t="s">
        <v>46</v>
      </c>
      <c r="H4" s="177"/>
      <c r="I4" s="319" t="s">
        <v>47</v>
      </c>
      <c r="J4" s="319" t="s">
        <v>48</v>
      </c>
      <c r="K4" s="325" t="s">
        <v>49</v>
      </c>
      <c r="L4" s="329" t="s">
        <v>50</v>
      </c>
      <c r="M4" s="319" t="s">
        <v>51</v>
      </c>
      <c r="N4" s="177"/>
      <c r="O4" s="319" t="s">
        <v>52</v>
      </c>
      <c r="P4" s="232"/>
      <c r="Q4" s="331">
        <v>2026</v>
      </c>
      <c r="R4" s="331">
        <v>2027</v>
      </c>
      <c r="S4" s="331">
        <v>2028</v>
      </c>
      <c r="T4" s="331">
        <v>2029</v>
      </c>
      <c r="U4" s="331">
        <v>2030</v>
      </c>
      <c r="V4" s="331">
        <v>2031</v>
      </c>
      <c r="W4" s="331">
        <v>2032</v>
      </c>
      <c r="X4" s="333">
        <v>2033</v>
      </c>
      <c r="Y4" s="331">
        <v>2024</v>
      </c>
      <c r="Z4" s="331">
        <v>2025</v>
      </c>
      <c r="AA4" s="331">
        <v>2026</v>
      </c>
      <c r="AB4" s="326">
        <v>2027</v>
      </c>
      <c r="AC4" s="335">
        <v>2026</v>
      </c>
      <c r="AD4" s="335">
        <v>2027</v>
      </c>
      <c r="AE4" s="335">
        <v>2028</v>
      </c>
      <c r="AF4" s="335">
        <v>2029</v>
      </c>
      <c r="AG4" s="335">
        <v>2030</v>
      </c>
      <c r="AH4" s="335">
        <v>2031</v>
      </c>
      <c r="AI4" s="335">
        <v>2032</v>
      </c>
      <c r="AJ4" s="320">
        <v>2033</v>
      </c>
      <c r="AK4" s="336">
        <v>2024</v>
      </c>
      <c r="AL4" s="335">
        <v>2025</v>
      </c>
      <c r="AM4" s="335">
        <v>2026</v>
      </c>
      <c r="AN4" s="337">
        <v>2027</v>
      </c>
      <c r="AO4" s="331">
        <v>2026</v>
      </c>
      <c r="AP4" s="331">
        <v>2027</v>
      </c>
      <c r="AQ4" s="331">
        <v>2028</v>
      </c>
      <c r="AR4" s="331">
        <v>2029</v>
      </c>
      <c r="AS4" s="331">
        <v>2030</v>
      </c>
      <c r="AT4" s="331">
        <v>2031</v>
      </c>
      <c r="AU4" s="331">
        <v>2032</v>
      </c>
      <c r="AV4" s="331">
        <v>2033</v>
      </c>
      <c r="AW4" s="336">
        <v>2024</v>
      </c>
      <c r="AX4" s="335">
        <v>2025</v>
      </c>
      <c r="AY4" s="335">
        <v>2026</v>
      </c>
      <c r="AZ4" s="337">
        <v>2027</v>
      </c>
      <c r="BA4" s="1"/>
      <c r="BB4" s="338" t="s">
        <v>53</v>
      </c>
      <c r="BC4" s="1"/>
      <c r="BD4" s="1"/>
      <c r="BE4" s="1"/>
      <c r="BF4" s="1"/>
      <c r="BG4" s="1"/>
      <c r="BH4" s="1"/>
      <c r="BI4" s="1"/>
      <c r="BJ4" s="1"/>
      <c r="BK4" s="1"/>
      <c r="BL4" s="1"/>
    </row>
    <row r="5" spans="1:64" ht="58.5" customHeight="1" x14ac:dyDescent="0.25">
      <c r="A5" s="321"/>
      <c r="B5" s="321"/>
      <c r="C5" s="321"/>
      <c r="D5" s="324"/>
      <c r="E5" s="327"/>
      <c r="F5" s="328"/>
      <c r="G5" s="321"/>
      <c r="H5" s="178" t="s">
        <v>54</v>
      </c>
      <c r="I5" s="321"/>
      <c r="J5" s="321"/>
      <c r="K5" s="327"/>
      <c r="L5" s="330"/>
      <c r="M5" s="321"/>
      <c r="N5" s="178" t="s">
        <v>55</v>
      </c>
      <c r="O5" s="321"/>
      <c r="P5" s="233" t="s">
        <v>56</v>
      </c>
      <c r="Q5" s="332"/>
      <c r="R5" s="332"/>
      <c r="S5" s="332"/>
      <c r="T5" s="332"/>
      <c r="U5" s="332"/>
      <c r="V5" s="332"/>
      <c r="W5" s="332"/>
      <c r="X5" s="334"/>
      <c r="Y5" s="332"/>
      <c r="Z5" s="332"/>
      <c r="AA5" s="332"/>
      <c r="AB5" s="328"/>
      <c r="AC5" s="332"/>
      <c r="AD5" s="332"/>
      <c r="AE5" s="332"/>
      <c r="AF5" s="332"/>
      <c r="AG5" s="332"/>
      <c r="AH5" s="332"/>
      <c r="AI5" s="332"/>
      <c r="AJ5" s="321"/>
      <c r="AK5" s="327"/>
      <c r="AL5" s="332"/>
      <c r="AM5" s="332"/>
      <c r="AN5" s="328"/>
      <c r="AO5" s="332"/>
      <c r="AP5" s="332"/>
      <c r="AQ5" s="332"/>
      <c r="AR5" s="332"/>
      <c r="AS5" s="332"/>
      <c r="AT5" s="332"/>
      <c r="AU5" s="332"/>
      <c r="AV5" s="332"/>
      <c r="AW5" s="327"/>
      <c r="AX5" s="332"/>
      <c r="AY5" s="332"/>
      <c r="AZ5" s="328"/>
      <c r="BA5" s="1"/>
      <c r="BB5" s="283"/>
      <c r="BC5" s="1"/>
      <c r="BD5" s="1"/>
      <c r="BE5" s="1"/>
      <c r="BF5" s="1"/>
      <c r="BG5" s="1"/>
      <c r="BH5" s="1"/>
      <c r="BI5" s="1"/>
      <c r="BJ5" s="1"/>
      <c r="BK5" s="1"/>
      <c r="BL5" s="1"/>
    </row>
    <row r="6" spans="1:64" s="73" customFormat="1" ht="30" customHeight="1" x14ac:dyDescent="0.25">
      <c r="A6" s="339" t="s">
        <v>57</v>
      </c>
      <c r="B6" s="32"/>
      <c r="C6" s="47"/>
      <c r="D6" s="34"/>
      <c r="E6" s="48"/>
      <c r="F6" s="49">
        <f>SUM(F7)</f>
        <v>30000000</v>
      </c>
      <c r="G6" s="37"/>
      <c r="H6" s="37"/>
      <c r="I6" s="37"/>
      <c r="J6" s="37"/>
      <c r="K6" s="49"/>
      <c r="L6" s="234">
        <f>SUM(L7:L12)</f>
        <v>33770000</v>
      </c>
      <c r="M6" s="50">
        <f>SUM(M7:M12)</f>
        <v>26486667</v>
      </c>
      <c r="N6" s="235">
        <f t="shared" ref="N6:N28" si="0">M6/L6</f>
        <v>0.78</v>
      </c>
      <c r="O6" s="50">
        <f>SUM(O7:O12)</f>
        <v>7283333</v>
      </c>
      <c r="P6" s="236">
        <f t="shared" ref="P6:P28" si="1">O6/L6</f>
        <v>0.22</v>
      </c>
      <c r="Q6" s="50">
        <f t="shared" ref="Q6:AZ6" si="2">SUM(Q7:Q12)</f>
        <v>0</v>
      </c>
      <c r="R6" s="50">
        <f t="shared" si="2"/>
        <v>1284000</v>
      </c>
      <c r="S6" s="50">
        <f t="shared" si="2"/>
        <v>6922000</v>
      </c>
      <c r="T6" s="50">
        <f t="shared" si="2"/>
        <v>6275750</v>
      </c>
      <c r="U6" s="50">
        <f t="shared" si="2"/>
        <v>5945750</v>
      </c>
      <c r="V6" s="50">
        <f t="shared" si="2"/>
        <v>5333750</v>
      </c>
      <c r="W6" s="50">
        <f t="shared" si="2"/>
        <v>5198750</v>
      </c>
      <c r="X6" s="214">
        <f t="shared" si="2"/>
        <v>2810000</v>
      </c>
      <c r="Y6" s="50">
        <f t="shared" si="2"/>
        <v>6482141</v>
      </c>
      <c r="Z6" s="50">
        <f t="shared" si="2"/>
        <v>8571328</v>
      </c>
      <c r="AA6" s="50">
        <f t="shared" si="2"/>
        <v>10446328</v>
      </c>
      <c r="AB6" s="50">
        <f t="shared" si="2"/>
        <v>8270202</v>
      </c>
      <c r="AC6" s="50">
        <f t="shared" si="2"/>
        <v>0</v>
      </c>
      <c r="AD6" s="50">
        <f t="shared" si="2"/>
        <v>1012000</v>
      </c>
      <c r="AE6" s="50">
        <f t="shared" si="2"/>
        <v>5380583</v>
      </c>
      <c r="AF6" s="50">
        <f t="shared" si="2"/>
        <v>4876792</v>
      </c>
      <c r="AG6" s="50">
        <f t="shared" si="2"/>
        <v>4695542</v>
      </c>
      <c r="AH6" s="50">
        <f t="shared" si="2"/>
        <v>4215042</v>
      </c>
      <c r="AI6" s="50">
        <f t="shared" si="2"/>
        <v>4100292</v>
      </c>
      <c r="AJ6" s="50">
        <f t="shared" si="2"/>
        <v>2206417</v>
      </c>
      <c r="AK6" s="50">
        <f t="shared" si="2"/>
        <v>5127666</v>
      </c>
      <c r="AL6" s="50">
        <f t="shared" si="2"/>
        <v>6656299</v>
      </c>
      <c r="AM6" s="50">
        <f t="shared" si="2"/>
        <v>8250049</v>
      </c>
      <c r="AN6" s="50">
        <f t="shared" si="2"/>
        <v>6452653</v>
      </c>
      <c r="AO6" s="50">
        <f t="shared" si="2"/>
        <v>0</v>
      </c>
      <c r="AP6" s="50">
        <f t="shared" si="2"/>
        <v>272000</v>
      </c>
      <c r="AQ6" s="50">
        <f t="shared" si="2"/>
        <v>1541417</v>
      </c>
      <c r="AR6" s="50">
        <f t="shared" si="2"/>
        <v>1398958</v>
      </c>
      <c r="AS6" s="50">
        <f t="shared" si="2"/>
        <v>1250208</v>
      </c>
      <c r="AT6" s="50">
        <f t="shared" si="2"/>
        <v>1118708</v>
      </c>
      <c r="AU6" s="50">
        <f t="shared" si="2"/>
        <v>1098458</v>
      </c>
      <c r="AV6" s="50">
        <f t="shared" si="2"/>
        <v>603583</v>
      </c>
      <c r="AW6" s="50">
        <f t="shared" si="2"/>
        <v>1354475</v>
      </c>
      <c r="AX6" s="50">
        <f t="shared" si="2"/>
        <v>1915029</v>
      </c>
      <c r="AY6" s="50">
        <f t="shared" si="2"/>
        <v>2196279</v>
      </c>
      <c r="AZ6" s="50">
        <f t="shared" si="2"/>
        <v>1817549</v>
      </c>
      <c r="BA6" s="71"/>
      <c r="BB6" s="174">
        <f>L6/L28</f>
        <v>0.67989999999999995</v>
      </c>
      <c r="BC6" s="71"/>
      <c r="BD6" s="71"/>
      <c r="BE6" s="71"/>
      <c r="BF6" s="71"/>
      <c r="BG6" s="71"/>
      <c r="BH6" s="71"/>
      <c r="BI6" s="71"/>
      <c r="BJ6" s="71"/>
      <c r="BK6" s="71"/>
      <c r="BL6" s="71"/>
    </row>
    <row r="7" spans="1:64" s="23" customFormat="1" ht="382.75" customHeight="1" x14ac:dyDescent="0.3">
      <c r="A7" s="340"/>
      <c r="B7" s="342" t="s">
        <v>58</v>
      </c>
      <c r="C7" s="27" t="s">
        <v>59</v>
      </c>
      <c r="D7" s="15">
        <v>3</v>
      </c>
      <c r="E7" s="38" t="s">
        <v>60</v>
      </c>
      <c r="F7" s="39">
        <v>30000000</v>
      </c>
      <c r="G7" s="40" t="s">
        <v>61</v>
      </c>
      <c r="H7" s="40" t="s">
        <v>62</v>
      </c>
      <c r="I7" s="40" t="s">
        <v>63</v>
      </c>
      <c r="J7" s="40" t="s">
        <v>64</v>
      </c>
      <c r="K7" s="223" t="s">
        <v>65</v>
      </c>
      <c r="L7" s="237">
        <v>25850000</v>
      </c>
      <c r="M7" s="205">
        <f>L7*0.7795648075-83</f>
        <v>20151667</v>
      </c>
      <c r="N7" s="206">
        <f t="shared" si="0"/>
        <v>0.77959999999999996</v>
      </c>
      <c r="O7" s="205">
        <f t="shared" ref="O7:O12" si="3">L7-M7</f>
        <v>5698333</v>
      </c>
      <c r="P7" s="238">
        <f t="shared" si="1"/>
        <v>0.22040000000000001</v>
      </c>
      <c r="Q7" s="43">
        <v>0</v>
      </c>
      <c r="R7" s="40">
        <v>0</v>
      </c>
      <c r="S7" s="40">
        <f>L7*0.2</f>
        <v>5170000</v>
      </c>
      <c r="T7" s="40">
        <f>L7*(0.7/4)</f>
        <v>4523750</v>
      </c>
      <c r="U7" s="40">
        <f>L7*(0.7/4)</f>
        <v>4523750</v>
      </c>
      <c r="V7" s="40">
        <f>L7*(0.7/4)</f>
        <v>4523750</v>
      </c>
      <c r="W7" s="40">
        <f>L7*(0.7/4)</f>
        <v>4523750</v>
      </c>
      <c r="X7" s="40">
        <f>L7*0.1</f>
        <v>2585000</v>
      </c>
      <c r="Y7" s="212">
        <f>L7*0.16627239</f>
        <v>4298141</v>
      </c>
      <c r="Z7" s="46">
        <f>L7*0.269316378</f>
        <v>6961828</v>
      </c>
      <c r="AA7" s="46">
        <f>L7*0.269316378</f>
        <v>6961828</v>
      </c>
      <c r="AB7" s="46">
        <f>L7*(1-0.16627239-0.269316378-0.269316378)</f>
        <v>7628202</v>
      </c>
      <c r="AC7" s="43">
        <v>0</v>
      </c>
      <c r="AD7" s="43">
        <v>0</v>
      </c>
      <c r="AE7" s="43">
        <f>M7*0.2</f>
        <v>4030333</v>
      </c>
      <c r="AF7" s="43">
        <f>M7*(0.7/4)</f>
        <v>3526542</v>
      </c>
      <c r="AG7" s="43">
        <f>M7*(0.7/4)</f>
        <v>3526542</v>
      </c>
      <c r="AH7" s="43">
        <f>M7*(0.7/4)</f>
        <v>3526542</v>
      </c>
      <c r="AI7" s="43">
        <f>M7*(0.7/4)</f>
        <v>3526542</v>
      </c>
      <c r="AJ7" s="43">
        <f>M7*0.1</f>
        <v>2015167</v>
      </c>
      <c r="AK7" s="53">
        <f>M7*0.16627239</f>
        <v>3350666</v>
      </c>
      <c r="AL7" s="53">
        <f>M7*0.269316378</f>
        <v>5427174</v>
      </c>
      <c r="AM7" s="53">
        <f>M7*0.269316378</f>
        <v>5427174</v>
      </c>
      <c r="AN7" s="53">
        <f>M7*(1-0.16627239-0.269316378-0.269316378)</f>
        <v>5946653</v>
      </c>
      <c r="AO7" s="43">
        <v>0</v>
      </c>
      <c r="AP7" s="43">
        <v>0</v>
      </c>
      <c r="AQ7" s="43">
        <f>O7*0.2</f>
        <v>1139667</v>
      </c>
      <c r="AR7" s="43">
        <f>O7*(0.7/4)</f>
        <v>997208</v>
      </c>
      <c r="AS7" s="43">
        <f>O7*(0.7/4)</f>
        <v>997208</v>
      </c>
      <c r="AT7" s="43">
        <f>O7*(0.7/4)</f>
        <v>997208</v>
      </c>
      <c r="AU7" s="43">
        <f>O7*(0.7/4)</f>
        <v>997208</v>
      </c>
      <c r="AV7" s="43">
        <f>O7*0.1</f>
        <v>569833</v>
      </c>
      <c r="AW7" s="54">
        <f>O7*0.16627239</f>
        <v>947475</v>
      </c>
      <c r="AX7" s="54">
        <f>O7*0.269316378</f>
        <v>1534654</v>
      </c>
      <c r="AY7" s="54">
        <f>O7*0.269316378</f>
        <v>1534654</v>
      </c>
      <c r="AZ7" s="54">
        <f>O7*(1-0.16627239-0.269316378-0.269316378)</f>
        <v>1681549</v>
      </c>
      <c r="BA7" s="22"/>
      <c r="BB7" s="174">
        <f>L7/L28</f>
        <v>0.52049999999999996</v>
      </c>
      <c r="BC7" s="22"/>
      <c r="BD7" s="22"/>
      <c r="BE7" s="22"/>
      <c r="BF7" s="22"/>
      <c r="BG7" s="22"/>
      <c r="BH7" s="22"/>
      <c r="BI7" s="22"/>
      <c r="BJ7" s="22"/>
      <c r="BK7" s="22"/>
      <c r="BL7" s="22"/>
    </row>
    <row r="8" spans="1:64" ht="106.5" customHeight="1" x14ac:dyDescent="0.25">
      <c r="A8" s="340"/>
      <c r="B8" s="343" t="s">
        <v>66</v>
      </c>
      <c r="C8" s="27" t="s">
        <v>67</v>
      </c>
      <c r="D8" s="15">
        <v>6</v>
      </c>
      <c r="E8" s="38" t="s">
        <v>16</v>
      </c>
      <c r="F8" s="39">
        <v>2000000</v>
      </c>
      <c r="G8" s="40" t="s">
        <v>68</v>
      </c>
      <c r="H8" s="40" t="s">
        <v>69</v>
      </c>
      <c r="I8" s="40" t="s">
        <v>70</v>
      </c>
      <c r="J8" s="40" t="s">
        <v>71</v>
      </c>
      <c r="K8" s="224" t="s">
        <v>72</v>
      </c>
      <c r="L8" s="237">
        <v>1350000</v>
      </c>
      <c r="M8" s="205">
        <f>L8*0.85</f>
        <v>1147500</v>
      </c>
      <c r="N8" s="207">
        <f t="shared" si="0"/>
        <v>0.85</v>
      </c>
      <c r="O8" s="205">
        <f t="shared" si="3"/>
        <v>202500</v>
      </c>
      <c r="P8" s="239">
        <f t="shared" si="1"/>
        <v>0.15</v>
      </c>
      <c r="Q8" s="43">
        <v>0</v>
      </c>
      <c r="R8" s="40">
        <f>L8*0.2</f>
        <v>270000</v>
      </c>
      <c r="S8" s="40">
        <f>L8*(0.7/3)</f>
        <v>315000</v>
      </c>
      <c r="T8" s="40">
        <f>L8*(0.7/3)</f>
        <v>315000</v>
      </c>
      <c r="U8" s="40">
        <f>L8*(0.7/3)</f>
        <v>315000</v>
      </c>
      <c r="V8" s="40">
        <f>L8*0.1</f>
        <v>135000</v>
      </c>
      <c r="W8" s="40">
        <v>0</v>
      </c>
      <c r="X8" s="215">
        <v>0</v>
      </c>
      <c r="Y8" s="212">
        <f>L8*0.2</f>
        <v>270000</v>
      </c>
      <c r="Z8" s="46">
        <f>L8*0.35</f>
        <v>472500</v>
      </c>
      <c r="AA8" s="46">
        <f>L8*0.35</f>
        <v>472500</v>
      </c>
      <c r="AB8" s="46">
        <f>L8*0.1</f>
        <v>135000</v>
      </c>
      <c r="AC8" s="43">
        <v>0</v>
      </c>
      <c r="AD8" s="43">
        <f>M8*0.2</f>
        <v>229500</v>
      </c>
      <c r="AE8" s="43">
        <f>M8*(0.7/3)</f>
        <v>267750</v>
      </c>
      <c r="AF8" s="43">
        <f>M8*(0.7/3)</f>
        <v>267750</v>
      </c>
      <c r="AG8" s="43">
        <f>M8*(0.7/3)</f>
        <v>267750</v>
      </c>
      <c r="AH8" s="43">
        <f>M8*0.1</f>
        <v>114750</v>
      </c>
      <c r="AI8" s="43">
        <v>0</v>
      </c>
      <c r="AJ8" s="43">
        <v>0</v>
      </c>
      <c r="AK8" s="53">
        <f>M8*0.2</f>
        <v>229500</v>
      </c>
      <c r="AL8" s="53">
        <f>M8*0.35</f>
        <v>401625</v>
      </c>
      <c r="AM8" s="53">
        <f>M8*0.35</f>
        <v>401625</v>
      </c>
      <c r="AN8" s="53">
        <f>M8*0.1</f>
        <v>114750</v>
      </c>
      <c r="AO8" s="43">
        <v>0</v>
      </c>
      <c r="AP8" s="43">
        <f>O8*0.2</f>
        <v>40500</v>
      </c>
      <c r="AQ8" s="43">
        <f>O8*(0.7/3)</f>
        <v>47250</v>
      </c>
      <c r="AR8" s="43">
        <f>O8*(0.7/3)</f>
        <v>47250</v>
      </c>
      <c r="AS8" s="43">
        <f>O8*(0.7/3)</f>
        <v>47250</v>
      </c>
      <c r="AT8" s="43">
        <f>O8*0.1</f>
        <v>20250</v>
      </c>
      <c r="AU8" s="43">
        <v>0</v>
      </c>
      <c r="AV8" s="43">
        <v>0</v>
      </c>
      <c r="AW8" s="54">
        <f>O8*0.2</f>
        <v>40500</v>
      </c>
      <c r="AX8" s="54">
        <f>O8*0.35</f>
        <v>70875</v>
      </c>
      <c r="AY8" s="54">
        <f>O8*0.35</f>
        <v>70875</v>
      </c>
      <c r="AZ8" s="54">
        <f>O8*0.1</f>
        <v>20250</v>
      </c>
      <c r="BA8" s="1"/>
      <c r="BB8" s="174">
        <f>L8/L28</f>
        <v>2.7199999999999998E-2</v>
      </c>
      <c r="BC8" s="1"/>
      <c r="BD8" s="1"/>
      <c r="BE8" s="1"/>
      <c r="BF8" s="1"/>
      <c r="BG8" s="1"/>
      <c r="BH8" s="1"/>
      <c r="BI8" s="1"/>
      <c r="BJ8" s="1"/>
      <c r="BK8" s="1"/>
      <c r="BL8" s="1"/>
    </row>
    <row r="9" spans="1:64" ht="165.65" customHeight="1" x14ac:dyDescent="0.25">
      <c r="A9" s="340"/>
      <c r="B9" s="344"/>
      <c r="C9" s="28" t="s">
        <v>73</v>
      </c>
      <c r="D9" s="24">
        <v>7</v>
      </c>
      <c r="E9" s="38" t="s">
        <v>17</v>
      </c>
      <c r="F9" s="39">
        <v>4000000</v>
      </c>
      <c r="G9" s="40" t="s">
        <v>74</v>
      </c>
      <c r="H9" s="40" t="s">
        <v>75</v>
      </c>
      <c r="I9" s="40" t="s">
        <v>76</v>
      </c>
      <c r="J9" s="40" t="s">
        <v>77</v>
      </c>
      <c r="K9" s="224" t="s">
        <v>78</v>
      </c>
      <c r="L9" s="237">
        <v>1500000</v>
      </c>
      <c r="M9" s="205">
        <f>L9*0.85</f>
        <v>1275000</v>
      </c>
      <c r="N9" s="207">
        <f t="shared" si="0"/>
        <v>0.85</v>
      </c>
      <c r="O9" s="205">
        <f t="shared" si="3"/>
        <v>225000</v>
      </c>
      <c r="P9" s="239">
        <f t="shared" si="1"/>
        <v>0.15</v>
      </c>
      <c r="Q9" s="43">
        <v>0</v>
      </c>
      <c r="R9" s="40">
        <f>L9*0.3</f>
        <v>450000</v>
      </c>
      <c r="S9" s="40">
        <f>L9*0.3</f>
        <v>450000</v>
      </c>
      <c r="T9" s="40">
        <f>L9*0.3</f>
        <v>450000</v>
      </c>
      <c r="U9" s="40">
        <f>L9*0.1</f>
        <v>150000</v>
      </c>
      <c r="V9" s="40">
        <v>0</v>
      </c>
      <c r="W9" s="40">
        <v>0</v>
      </c>
      <c r="X9" s="215">
        <v>0</v>
      </c>
      <c r="Y9" s="212">
        <f>L9*0.9</f>
        <v>1350000</v>
      </c>
      <c r="Z9" s="46">
        <f>L9*0.1</f>
        <v>150000</v>
      </c>
      <c r="AA9" s="46">
        <v>0</v>
      </c>
      <c r="AB9" s="46">
        <v>0</v>
      </c>
      <c r="AC9" s="43">
        <v>0</v>
      </c>
      <c r="AD9" s="43">
        <f>M9*0.3</f>
        <v>382500</v>
      </c>
      <c r="AE9" s="43">
        <f>M9*0.3</f>
        <v>382500</v>
      </c>
      <c r="AF9" s="43">
        <f>M9*0.3</f>
        <v>382500</v>
      </c>
      <c r="AG9" s="43">
        <f>M9*0.1</f>
        <v>127500</v>
      </c>
      <c r="AH9" s="43">
        <v>0</v>
      </c>
      <c r="AI9" s="43">
        <v>0</v>
      </c>
      <c r="AJ9" s="43">
        <v>0</v>
      </c>
      <c r="AK9" s="53">
        <f>M9*0.9</f>
        <v>1147500</v>
      </c>
      <c r="AL9" s="53">
        <f>M9*0.1</f>
        <v>127500</v>
      </c>
      <c r="AM9" s="53">
        <v>0</v>
      </c>
      <c r="AN9" s="53">
        <v>0</v>
      </c>
      <c r="AO9" s="43">
        <v>0</v>
      </c>
      <c r="AP9" s="43">
        <f>O9*0.3</f>
        <v>67500</v>
      </c>
      <c r="AQ9" s="43">
        <f>O9*0.3</f>
        <v>67500</v>
      </c>
      <c r="AR9" s="43">
        <f>O9*0.3</f>
        <v>67500</v>
      </c>
      <c r="AS9" s="43">
        <f>O9*0.1</f>
        <v>22500</v>
      </c>
      <c r="AT9" s="43">
        <v>0</v>
      </c>
      <c r="AU9" s="43">
        <v>0</v>
      </c>
      <c r="AV9" s="43">
        <v>0</v>
      </c>
      <c r="AW9" s="54">
        <f>O9*0.9</f>
        <v>202500</v>
      </c>
      <c r="AX9" s="54">
        <f>O9*0.1</f>
        <v>22500</v>
      </c>
      <c r="AY9" s="54">
        <v>0</v>
      </c>
      <c r="AZ9" s="54">
        <v>0</v>
      </c>
      <c r="BA9" s="1"/>
      <c r="BB9" s="174">
        <f>L9/L28</f>
        <v>3.0200000000000001E-2</v>
      </c>
      <c r="BC9" s="1"/>
      <c r="BD9" s="1"/>
      <c r="BE9" s="1"/>
      <c r="BF9" s="1"/>
      <c r="BG9" s="1"/>
      <c r="BH9" s="1"/>
      <c r="BI9" s="1"/>
      <c r="BJ9" s="1"/>
      <c r="BK9" s="1"/>
      <c r="BL9" s="1"/>
    </row>
    <row r="10" spans="1:64" ht="165.65" customHeight="1" x14ac:dyDescent="0.25">
      <c r="A10" s="340"/>
      <c r="B10" s="345"/>
      <c r="C10" s="28" t="s">
        <v>79</v>
      </c>
      <c r="D10" s="24">
        <v>7</v>
      </c>
      <c r="E10" s="38" t="s">
        <v>17</v>
      </c>
      <c r="F10" s="39">
        <v>4000000</v>
      </c>
      <c r="G10" s="40" t="s">
        <v>80</v>
      </c>
      <c r="H10" s="40" t="s">
        <v>81</v>
      </c>
      <c r="I10" s="40" t="s">
        <v>82</v>
      </c>
      <c r="J10" s="40" t="s">
        <v>77</v>
      </c>
      <c r="K10" s="224" t="s">
        <v>83</v>
      </c>
      <c r="L10" s="237">
        <v>2250000</v>
      </c>
      <c r="M10" s="205">
        <f>L10*0.85</f>
        <v>1912500</v>
      </c>
      <c r="N10" s="207">
        <f t="shared" si="0"/>
        <v>0.85</v>
      </c>
      <c r="O10" s="205">
        <f t="shared" si="3"/>
        <v>337500</v>
      </c>
      <c r="P10" s="239">
        <f t="shared" si="1"/>
        <v>0.15</v>
      </c>
      <c r="Q10" s="43">
        <v>0</v>
      </c>
      <c r="R10" s="40">
        <v>0</v>
      </c>
      <c r="S10" s="40">
        <v>0</v>
      </c>
      <c r="T10" s="40">
        <v>0</v>
      </c>
      <c r="U10" s="40">
        <f>L10*0.3</f>
        <v>675000</v>
      </c>
      <c r="V10" s="40">
        <f>L10*0.3</f>
        <v>675000</v>
      </c>
      <c r="W10" s="40">
        <f>L10*0.3</f>
        <v>675000</v>
      </c>
      <c r="X10" s="215">
        <f>L10*0.1</f>
        <v>225000</v>
      </c>
      <c r="Y10" s="212">
        <v>0</v>
      </c>
      <c r="Z10" s="46">
        <v>0</v>
      </c>
      <c r="AA10" s="46">
        <f>L10*0.9</f>
        <v>2025000</v>
      </c>
      <c r="AB10" s="46">
        <f>L10*0.1</f>
        <v>225000</v>
      </c>
      <c r="AC10" s="43">
        <v>0</v>
      </c>
      <c r="AD10" s="43">
        <v>0</v>
      </c>
      <c r="AE10" s="43">
        <v>0</v>
      </c>
      <c r="AF10" s="43">
        <v>0</v>
      </c>
      <c r="AG10" s="43">
        <f>M10*0.3</f>
        <v>573750</v>
      </c>
      <c r="AH10" s="43">
        <f>M10*0.3</f>
        <v>573750</v>
      </c>
      <c r="AI10" s="43">
        <f>M10*0.3</f>
        <v>573750</v>
      </c>
      <c r="AJ10" s="43">
        <f>M10*0.1</f>
        <v>191250</v>
      </c>
      <c r="AK10" s="53">
        <v>0</v>
      </c>
      <c r="AL10" s="53">
        <v>0</v>
      </c>
      <c r="AM10" s="53">
        <f>M10*0.9</f>
        <v>1721250</v>
      </c>
      <c r="AN10" s="53">
        <f>M10*0.1</f>
        <v>191250</v>
      </c>
      <c r="AO10" s="43">
        <v>0</v>
      </c>
      <c r="AP10" s="43">
        <v>0</v>
      </c>
      <c r="AQ10" s="43">
        <v>0</v>
      </c>
      <c r="AR10" s="43">
        <v>0</v>
      </c>
      <c r="AS10" s="43">
        <f>O10*0.3</f>
        <v>101250</v>
      </c>
      <c r="AT10" s="43">
        <f>O10*0.3</f>
        <v>101250</v>
      </c>
      <c r="AU10" s="43">
        <f>O10*0.3</f>
        <v>101250</v>
      </c>
      <c r="AV10" s="43">
        <f>O10*0.1</f>
        <v>33750</v>
      </c>
      <c r="AW10" s="54">
        <v>0</v>
      </c>
      <c r="AX10" s="54">
        <v>0</v>
      </c>
      <c r="AY10" s="54">
        <f>O10*0.9</f>
        <v>303750</v>
      </c>
      <c r="AZ10" s="54">
        <f>O10*0.1</f>
        <v>33750</v>
      </c>
      <c r="BA10" s="1"/>
      <c r="BB10" s="174">
        <f>L10/L28</f>
        <v>4.53E-2</v>
      </c>
      <c r="BC10" s="1"/>
      <c r="BD10" s="1"/>
      <c r="BE10" s="1"/>
      <c r="BF10" s="1"/>
      <c r="BG10" s="1"/>
      <c r="BH10" s="1"/>
      <c r="BI10" s="1"/>
      <c r="BJ10" s="1"/>
      <c r="BK10" s="1"/>
      <c r="BL10" s="1"/>
    </row>
    <row r="11" spans="1:64" s="65" customFormat="1" ht="108.75" customHeight="1" x14ac:dyDescent="0.25">
      <c r="A11" s="340"/>
      <c r="B11" s="343" t="s">
        <v>84</v>
      </c>
      <c r="C11" s="27" t="s">
        <v>85</v>
      </c>
      <c r="D11" s="24">
        <v>1</v>
      </c>
      <c r="E11" s="38" t="s">
        <v>86</v>
      </c>
      <c r="F11" s="39"/>
      <c r="G11" s="40" t="s">
        <v>87</v>
      </c>
      <c r="H11" s="40" t="s">
        <v>88</v>
      </c>
      <c r="I11" s="40" t="s">
        <v>89</v>
      </c>
      <c r="J11" s="40" t="s">
        <v>71</v>
      </c>
      <c r="K11" s="224" t="s">
        <v>90</v>
      </c>
      <c r="L11" s="237">
        <v>2100000</v>
      </c>
      <c r="M11" s="205">
        <f>L11*0.66666667</f>
        <v>1400000</v>
      </c>
      <c r="N11" s="206">
        <f t="shared" si="0"/>
        <v>0.66669999999999996</v>
      </c>
      <c r="O11" s="205">
        <f t="shared" si="3"/>
        <v>700000</v>
      </c>
      <c r="P11" s="238">
        <f t="shared" si="1"/>
        <v>0.33329999999999999</v>
      </c>
      <c r="Q11" s="43">
        <v>0</v>
      </c>
      <c r="R11" s="40">
        <f>L11*0.2</f>
        <v>420000</v>
      </c>
      <c r="S11" s="40">
        <f>L11*0.35</f>
        <v>735000</v>
      </c>
      <c r="T11" s="40">
        <f>L11*0.35</f>
        <v>735000</v>
      </c>
      <c r="U11" s="40">
        <f>L11*0.1</f>
        <v>210000</v>
      </c>
      <c r="V11" s="40">
        <v>0</v>
      </c>
      <c r="W11" s="40">
        <v>0</v>
      </c>
      <c r="X11" s="215">
        <v>0</v>
      </c>
      <c r="Y11" s="212">
        <f>L11*0.2</f>
        <v>420000</v>
      </c>
      <c r="Z11" s="46">
        <f>L11*0.35</f>
        <v>735000</v>
      </c>
      <c r="AA11" s="46">
        <f>L11*0.35</f>
        <v>735000</v>
      </c>
      <c r="AB11" s="46">
        <f>L11*0.1</f>
        <v>210000</v>
      </c>
      <c r="AC11" s="43">
        <v>0</v>
      </c>
      <c r="AD11" s="43">
        <f>M11*0.2</f>
        <v>280000</v>
      </c>
      <c r="AE11" s="43">
        <f>M11*0.35</f>
        <v>490000</v>
      </c>
      <c r="AF11" s="43">
        <f>M11*0.35</f>
        <v>490000</v>
      </c>
      <c r="AG11" s="43">
        <f>M11*0.1</f>
        <v>140000</v>
      </c>
      <c r="AH11" s="43">
        <v>0</v>
      </c>
      <c r="AI11" s="43">
        <v>0</v>
      </c>
      <c r="AJ11" s="43">
        <v>0</v>
      </c>
      <c r="AK11" s="53">
        <f>M11*0.2</f>
        <v>280000</v>
      </c>
      <c r="AL11" s="53">
        <f>M11*0.35</f>
        <v>490000</v>
      </c>
      <c r="AM11" s="53">
        <f>M11*0.35</f>
        <v>490000</v>
      </c>
      <c r="AN11" s="53">
        <f>M11*0.1</f>
        <v>140000</v>
      </c>
      <c r="AO11" s="43">
        <v>0</v>
      </c>
      <c r="AP11" s="43">
        <f>O11*0.2</f>
        <v>140000</v>
      </c>
      <c r="AQ11" s="43">
        <f>O11*0.35</f>
        <v>245000</v>
      </c>
      <c r="AR11" s="43">
        <f>O11*0.35</f>
        <v>245000</v>
      </c>
      <c r="AS11" s="43">
        <f>O11*0.1</f>
        <v>70000</v>
      </c>
      <c r="AT11" s="43">
        <v>0</v>
      </c>
      <c r="AU11" s="43">
        <v>0</v>
      </c>
      <c r="AV11" s="43">
        <v>0</v>
      </c>
      <c r="AW11" s="54">
        <f>O11*0.2</f>
        <v>140000</v>
      </c>
      <c r="AX11" s="54">
        <f>O11*0.35</f>
        <v>245000</v>
      </c>
      <c r="AY11" s="54">
        <f>O11*0.35</f>
        <v>245000</v>
      </c>
      <c r="AZ11" s="54">
        <f>O11*0.1</f>
        <v>70000</v>
      </c>
      <c r="BA11" s="1"/>
      <c r="BB11" s="174">
        <f>L11/L28</f>
        <v>4.2299999999999997E-2</v>
      </c>
      <c r="BC11" s="64"/>
      <c r="BD11" s="64"/>
      <c r="BE11" s="64"/>
      <c r="BF11" s="64"/>
      <c r="BG11" s="64"/>
      <c r="BH11" s="64"/>
      <c r="BI11" s="64"/>
      <c r="BJ11" s="64"/>
      <c r="BK11" s="64"/>
      <c r="BL11" s="64"/>
    </row>
    <row r="12" spans="1:64" s="65" customFormat="1" ht="87" customHeight="1" x14ac:dyDescent="0.25">
      <c r="A12" s="341"/>
      <c r="B12" s="345"/>
      <c r="C12" s="27" t="s">
        <v>91</v>
      </c>
      <c r="D12" s="24">
        <v>8</v>
      </c>
      <c r="E12" s="38" t="s">
        <v>92</v>
      </c>
      <c r="F12" s="39"/>
      <c r="G12" s="40" t="s">
        <v>93</v>
      </c>
      <c r="H12" s="40" t="s">
        <v>69</v>
      </c>
      <c r="I12" s="40" t="s">
        <v>94</v>
      </c>
      <c r="J12" s="40" t="s">
        <v>95</v>
      </c>
      <c r="K12" s="224" t="s">
        <v>96</v>
      </c>
      <c r="L12" s="237">
        <v>720000</v>
      </c>
      <c r="M12" s="205">
        <f>L12*0.833333333</f>
        <v>600000</v>
      </c>
      <c r="N12" s="206">
        <f t="shared" si="0"/>
        <v>0.83330000000000004</v>
      </c>
      <c r="O12" s="205">
        <f t="shared" si="3"/>
        <v>120000</v>
      </c>
      <c r="P12" s="238">
        <f t="shared" si="1"/>
        <v>0.16669999999999999</v>
      </c>
      <c r="Q12" s="43">
        <v>0</v>
      </c>
      <c r="R12" s="40">
        <f>L12*0.2</f>
        <v>144000</v>
      </c>
      <c r="S12" s="40">
        <f>L12*0.35</f>
        <v>252000</v>
      </c>
      <c r="T12" s="40">
        <f>L12*0.35</f>
        <v>252000</v>
      </c>
      <c r="U12" s="40">
        <f>L12*0.1</f>
        <v>72000</v>
      </c>
      <c r="V12" s="40">
        <v>0</v>
      </c>
      <c r="W12" s="40">
        <v>0</v>
      </c>
      <c r="X12" s="215">
        <v>0</v>
      </c>
      <c r="Y12" s="212">
        <f>L12*0.2</f>
        <v>144000</v>
      </c>
      <c r="Z12" s="46">
        <f>L12*0.35</f>
        <v>252000</v>
      </c>
      <c r="AA12" s="46">
        <f>L12*0.35</f>
        <v>252000</v>
      </c>
      <c r="AB12" s="46">
        <f>L12*0.1</f>
        <v>72000</v>
      </c>
      <c r="AC12" s="43">
        <v>0</v>
      </c>
      <c r="AD12" s="43">
        <f>M12*0.2</f>
        <v>120000</v>
      </c>
      <c r="AE12" s="43">
        <f>M12*0.35</f>
        <v>210000</v>
      </c>
      <c r="AF12" s="43">
        <f>M12*0.35</f>
        <v>210000</v>
      </c>
      <c r="AG12" s="43">
        <f>M12*0.1</f>
        <v>60000</v>
      </c>
      <c r="AH12" s="43">
        <v>0</v>
      </c>
      <c r="AI12" s="43">
        <v>0</v>
      </c>
      <c r="AJ12" s="43">
        <v>0</v>
      </c>
      <c r="AK12" s="53">
        <f>M12*0.2</f>
        <v>120000</v>
      </c>
      <c r="AL12" s="53">
        <f>M12*0.35</f>
        <v>210000</v>
      </c>
      <c r="AM12" s="53">
        <f>M12*0.35</f>
        <v>210000</v>
      </c>
      <c r="AN12" s="53">
        <f>M12*0.1</f>
        <v>60000</v>
      </c>
      <c r="AO12" s="43">
        <v>0</v>
      </c>
      <c r="AP12" s="43">
        <f>O12*0.2</f>
        <v>24000</v>
      </c>
      <c r="AQ12" s="43">
        <f>O12*0.35</f>
        <v>42000</v>
      </c>
      <c r="AR12" s="43">
        <f>O12*0.35</f>
        <v>42000</v>
      </c>
      <c r="AS12" s="43">
        <f>O12*0.1</f>
        <v>12000</v>
      </c>
      <c r="AT12" s="43">
        <v>0</v>
      </c>
      <c r="AU12" s="43">
        <v>0</v>
      </c>
      <c r="AV12" s="43">
        <v>0</v>
      </c>
      <c r="AW12" s="54">
        <f>O12*0.2</f>
        <v>24000</v>
      </c>
      <c r="AX12" s="54">
        <f>O12*0.35</f>
        <v>42000</v>
      </c>
      <c r="AY12" s="54">
        <f>O12*0.35</f>
        <v>42000</v>
      </c>
      <c r="AZ12" s="54">
        <f>O12*0.1</f>
        <v>12000</v>
      </c>
      <c r="BA12" s="1"/>
      <c r="BB12" s="174">
        <f>L12/L28</f>
        <v>1.4500000000000001E-2</v>
      </c>
      <c r="BC12" s="64"/>
      <c r="BD12" s="64"/>
      <c r="BE12" s="64"/>
      <c r="BF12" s="64"/>
      <c r="BG12" s="64"/>
      <c r="BH12" s="64"/>
      <c r="BI12" s="64"/>
      <c r="BJ12" s="64"/>
      <c r="BK12" s="64"/>
      <c r="BL12" s="64"/>
    </row>
    <row r="13" spans="1:64" s="73" customFormat="1" ht="29.15" customHeight="1" x14ac:dyDescent="0.25">
      <c r="A13" s="346" t="s">
        <v>97</v>
      </c>
      <c r="B13" s="32"/>
      <c r="C13" s="33"/>
      <c r="D13" s="34"/>
      <c r="E13" s="44"/>
      <c r="F13" s="45"/>
      <c r="G13" s="46"/>
      <c r="H13" s="46"/>
      <c r="I13" s="46"/>
      <c r="J13" s="46"/>
      <c r="K13" s="225"/>
      <c r="L13" s="240">
        <f>SUM(L14:L22)</f>
        <v>13050000</v>
      </c>
      <c r="M13" s="37">
        <f>SUM(M14:M22)</f>
        <v>11092500</v>
      </c>
      <c r="N13" s="56">
        <f t="shared" si="0"/>
        <v>0.85</v>
      </c>
      <c r="O13" s="37">
        <f>SUM(O14:O22)</f>
        <v>1957500</v>
      </c>
      <c r="P13" s="241">
        <f t="shared" si="1"/>
        <v>0.15</v>
      </c>
      <c r="Q13" s="48">
        <f t="shared" ref="Q13:AZ13" si="4">SUM(Q14:Q22)</f>
        <v>0</v>
      </c>
      <c r="R13" s="48">
        <f t="shared" si="4"/>
        <v>0</v>
      </c>
      <c r="S13" s="48">
        <f t="shared" si="4"/>
        <v>0</v>
      </c>
      <c r="T13" s="48">
        <f t="shared" si="4"/>
        <v>852500</v>
      </c>
      <c r="U13" s="48">
        <f t="shared" si="4"/>
        <v>1350000</v>
      </c>
      <c r="V13" s="48">
        <f t="shared" si="4"/>
        <v>3817500</v>
      </c>
      <c r="W13" s="48">
        <f t="shared" si="4"/>
        <v>3525000</v>
      </c>
      <c r="X13" s="216">
        <f t="shared" si="4"/>
        <v>3505000</v>
      </c>
      <c r="Y13" s="48">
        <f t="shared" si="4"/>
        <v>852500</v>
      </c>
      <c r="Z13" s="37">
        <f t="shared" si="4"/>
        <v>2037500</v>
      </c>
      <c r="AA13" s="37">
        <f t="shared" si="4"/>
        <v>6055000</v>
      </c>
      <c r="AB13" s="37">
        <f t="shared" si="4"/>
        <v>4105000</v>
      </c>
      <c r="AC13" s="37">
        <f t="shared" si="4"/>
        <v>0</v>
      </c>
      <c r="AD13" s="37">
        <f t="shared" si="4"/>
        <v>0</v>
      </c>
      <c r="AE13" s="37">
        <f t="shared" si="4"/>
        <v>0</v>
      </c>
      <c r="AF13" s="37">
        <f t="shared" si="4"/>
        <v>724625</v>
      </c>
      <c r="AG13" s="37">
        <f t="shared" si="4"/>
        <v>1147500</v>
      </c>
      <c r="AH13" s="37">
        <f t="shared" si="4"/>
        <v>3244875</v>
      </c>
      <c r="AI13" s="37">
        <f t="shared" si="4"/>
        <v>2996250</v>
      </c>
      <c r="AJ13" s="37">
        <f t="shared" si="4"/>
        <v>2979250</v>
      </c>
      <c r="AK13" s="37">
        <f t="shared" si="4"/>
        <v>724625</v>
      </c>
      <c r="AL13" s="37">
        <f t="shared" si="4"/>
        <v>1731875</v>
      </c>
      <c r="AM13" s="37">
        <f t="shared" si="4"/>
        <v>5146750</v>
      </c>
      <c r="AN13" s="37">
        <f t="shared" si="4"/>
        <v>3489250</v>
      </c>
      <c r="AO13" s="37">
        <f t="shared" si="4"/>
        <v>0</v>
      </c>
      <c r="AP13" s="37">
        <f t="shared" si="4"/>
        <v>0</v>
      </c>
      <c r="AQ13" s="37">
        <f t="shared" si="4"/>
        <v>0</v>
      </c>
      <c r="AR13" s="37">
        <f t="shared" si="4"/>
        <v>127875</v>
      </c>
      <c r="AS13" s="37">
        <f t="shared" si="4"/>
        <v>202500</v>
      </c>
      <c r="AT13" s="37">
        <f t="shared" si="4"/>
        <v>572625</v>
      </c>
      <c r="AU13" s="37">
        <f t="shared" si="4"/>
        <v>528750</v>
      </c>
      <c r="AV13" s="37">
        <f t="shared" si="4"/>
        <v>525750</v>
      </c>
      <c r="AW13" s="37">
        <f t="shared" si="4"/>
        <v>127875</v>
      </c>
      <c r="AX13" s="37">
        <f t="shared" si="4"/>
        <v>305625</v>
      </c>
      <c r="AY13" s="37">
        <f t="shared" si="4"/>
        <v>908250</v>
      </c>
      <c r="AZ13" s="37">
        <f t="shared" si="4"/>
        <v>615750</v>
      </c>
      <c r="BA13" s="173"/>
      <c r="BB13" s="174">
        <f>L13/L28</f>
        <v>0.26269999999999999</v>
      </c>
      <c r="BC13" s="71"/>
      <c r="BD13" s="71"/>
      <c r="BE13" s="71"/>
      <c r="BF13" s="71"/>
      <c r="BG13" s="71"/>
      <c r="BH13" s="71"/>
      <c r="BI13" s="71"/>
      <c r="BJ13" s="71"/>
      <c r="BK13" s="71"/>
      <c r="BL13" s="71"/>
    </row>
    <row r="14" spans="1:64" ht="112.9" customHeight="1" x14ac:dyDescent="0.25">
      <c r="A14" s="347"/>
      <c r="B14" s="349" t="s">
        <v>98</v>
      </c>
      <c r="C14" s="28" t="s">
        <v>99</v>
      </c>
      <c r="D14" s="24">
        <v>13</v>
      </c>
      <c r="E14" s="38" t="s">
        <v>100</v>
      </c>
      <c r="F14" s="39">
        <v>3800000</v>
      </c>
      <c r="G14" s="40" t="s">
        <v>101</v>
      </c>
      <c r="H14" s="40" t="s">
        <v>102</v>
      </c>
      <c r="I14" s="40" t="s">
        <v>103</v>
      </c>
      <c r="J14" s="40" t="s">
        <v>104</v>
      </c>
      <c r="K14" s="224" t="s">
        <v>105</v>
      </c>
      <c r="L14" s="237">
        <v>5500000</v>
      </c>
      <c r="M14" s="205">
        <v>4675000</v>
      </c>
      <c r="N14" s="207">
        <f t="shared" si="0"/>
        <v>0.85</v>
      </c>
      <c r="O14" s="205">
        <f t="shared" ref="O14:O22" si="5">L14-M14</f>
        <v>825000</v>
      </c>
      <c r="P14" s="239">
        <f t="shared" si="1"/>
        <v>0.15</v>
      </c>
      <c r="Q14" s="43">
        <v>0</v>
      </c>
      <c r="R14" s="40">
        <v>0</v>
      </c>
      <c r="S14" s="40">
        <v>0</v>
      </c>
      <c r="T14" s="40">
        <f>L14*0.1</f>
        <v>550000</v>
      </c>
      <c r="U14" s="40">
        <f>L14*0.2</f>
        <v>1100000</v>
      </c>
      <c r="V14" s="40">
        <f>L14*0.2</f>
        <v>1100000</v>
      </c>
      <c r="W14" s="40">
        <f>L14*0.2</f>
        <v>1100000</v>
      </c>
      <c r="X14" s="215">
        <f>L14*0.3</f>
        <v>1650000</v>
      </c>
      <c r="Y14" s="212">
        <f>L14*0.1</f>
        <v>550000</v>
      </c>
      <c r="Z14" s="46">
        <f>L14*0.3</f>
        <v>1650000</v>
      </c>
      <c r="AA14" s="46">
        <f>L14*0.3</f>
        <v>1650000</v>
      </c>
      <c r="AB14" s="46">
        <f>L14*0.3</f>
        <v>1650000</v>
      </c>
      <c r="AC14" s="43">
        <v>0</v>
      </c>
      <c r="AD14" s="43">
        <v>0</v>
      </c>
      <c r="AE14" s="43">
        <v>0</v>
      </c>
      <c r="AF14" s="43">
        <f>M14*0.1</f>
        <v>467500</v>
      </c>
      <c r="AG14" s="43">
        <f>M14*0.2</f>
        <v>935000</v>
      </c>
      <c r="AH14" s="43">
        <f>M14*0.2</f>
        <v>935000</v>
      </c>
      <c r="AI14" s="43">
        <f>M14*0.2</f>
        <v>935000</v>
      </c>
      <c r="AJ14" s="43">
        <f>M14*0.3</f>
        <v>1402500</v>
      </c>
      <c r="AK14" s="53">
        <f>M14*0.1</f>
        <v>467500</v>
      </c>
      <c r="AL14" s="53">
        <f>M14*0.3</f>
        <v>1402500</v>
      </c>
      <c r="AM14" s="53">
        <f>M14*0.3</f>
        <v>1402500</v>
      </c>
      <c r="AN14" s="53">
        <f>M14*0.3</f>
        <v>1402500</v>
      </c>
      <c r="AO14" s="43">
        <v>0</v>
      </c>
      <c r="AP14" s="43">
        <v>0</v>
      </c>
      <c r="AQ14" s="43">
        <v>0</v>
      </c>
      <c r="AR14" s="43">
        <f>O14*0.1</f>
        <v>82500</v>
      </c>
      <c r="AS14" s="43">
        <f>O14*0.2</f>
        <v>165000</v>
      </c>
      <c r="AT14" s="43">
        <f>O14*0.2</f>
        <v>165000</v>
      </c>
      <c r="AU14" s="43">
        <f>O14*0.2</f>
        <v>165000</v>
      </c>
      <c r="AV14" s="43">
        <f>O14*0.3</f>
        <v>247500</v>
      </c>
      <c r="AW14" s="54">
        <f>O14*0.1</f>
        <v>82500</v>
      </c>
      <c r="AX14" s="54">
        <f>O14*0.3</f>
        <v>247500</v>
      </c>
      <c r="AY14" s="54">
        <f>O14*0.3</f>
        <v>247500</v>
      </c>
      <c r="AZ14" s="54">
        <f>O14*0.3</f>
        <v>247500</v>
      </c>
      <c r="BA14" s="1"/>
      <c r="BB14" s="174">
        <f>L14/L28</f>
        <v>0.11070000000000001</v>
      </c>
      <c r="BC14" s="1"/>
      <c r="BD14" s="1"/>
      <c r="BE14" s="1"/>
      <c r="BF14" s="1"/>
      <c r="BG14" s="1"/>
      <c r="BH14" s="1"/>
      <c r="BI14" s="1"/>
      <c r="BJ14" s="1"/>
      <c r="BK14" s="1"/>
      <c r="BL14" s="1"/>
    </row>
    <row r="15" spans="1:64" ht="98.25" customHeight="1" x14ac:dyDescent="0.25">
      <c r="A15" s="347"/>
      <c r="B15" s="350"/>
      <c r="C15" s="28" t="s">
        <v>99</v>
      </c>
      <c r="D15" s="24">
        <v>10</v>
      </c>
      <c r="E15" s="38" t="s">
        <v>106</v>
      </c>
      <c r="F15" s="39">
        <v>200000</v>
      </c>
      <c r="G15" s="40" t="s">
        <v>68</v>
      </c>
      <c r="H15" s="40" t="s">
        <v>107</v>
      </c>
      <c r="I15" s="40" t="s">
        <v>108</v>
      </c>
      <c r="J15" s="40" t="s">
        <v>104</v>
      </c>
      <c r="K15" s="224" t="s">
        <v>109</v>
      </c>
      <c r="L15" s="237">
        <v>550000</v>
      </c>
      <c r="M15" s="205">
        <v>467500</v>
      </c>
      <c r="N15" s="207">
        <f t="shared" si="0"/>
        <v>0.85</v>
      </c>
      <c r="O15" s="205">
        <f t="shared" si="5"/>
        <v>82500</v>
      </c>
      <c r="P15" s="239">
        <f t="shared" si="1"/>
        <v>0.15</v>
      </c>
      <c r="Q15" s="43">
        <v>0</v>
      </c>
      <c r="R15" s="40">
        <v>0</v>
      </c>
      <c r="S15" s="40">
        <v>0</v>
      </c>
      <c r="T15" s="40">
        <f>L15*0.55</f>
        <v>302500</v>
      </c>
      <c r="U15" s="40">
        <v>0</v>
      </c>
      <c r="V15" s="40">
        <f>L15*0.35</f>
        <v>192500</v>
      </c>
      <c r="W15" s="40">
        <v>0</v>
      </c>
      <c r="X15" s="215">
        <f>L15*0.1</f>
        <v>55000</v>
      </c>
      <c r="Y15" s="212">
        <f>L15*0.55</f>
        <v>302500</v>
      </c>
      <c r="Z15" s="46">
        <v>0</v>
      </c>
      <c r="AA15" s="46">
        <f>L15*0.35</f>
        <v>192500</v>
      </c>
      <c r="AB15" s="46">
        <f>L15*0.1</f>
        <v>55000</v>
      </c>
      <c r="AC15" s="43">
        <v>0</v>
      </c>
      <c r="AD15" s="43">
        <v>0</v>
      </c>
      <c r="AE15" s="43">
        <v>0</v>
      </c>
      <c r="AF15" s="43">
        <f>M15*0.55</f>
        <v>257125</v>
      </c>
      <c r="AG15" s="43">
        <v>0</v>
      </c>
      <c r="AH15" s="43">
        <f>M15*0.35</f>
        <v>163625</v>
      </c>
      <c r="AI15" s="43">
        <v>0</v>
      </c>
      <c r="AJ15" s="43">
        <f>M15*0.1</f>
        <v>46750</v>
      </c>
      <c r="AK15" s="53">
        <f>M15*0.55</f>
        <v>257125</v>
      </c>
      <c r="AL15" s="53">
        <v>0</v>
      </c>
      <c r="AM15" s="53">
        <f>M15*0.35</f>
        <v>163625</v>
      </c>
      <c r="AN15" s="53">
        <f>M15*0.1</f>
        <v>46750</v>
      </c>
      <c r="AO15" s="43">
        <v>0</v>
      </c>
      <c r="AP15" s="43">
        <v>0</v>
      </c>
      <c r="AQ15" s="43">
        <v>0</v>
      </c>
      <c r="AR15" s="43">
        <f>O15*0.55</f>
        <v>45375</v>
      </c>
      <c r="AS15" s="43">
        <v>0</v>
      </c>
      <c r="AT15" s="43">
        <f>O15*0.35</f>
        <v>28875</v>
      </c>
      <c r="AU15" s="43">
        <v>0</v>
      </c>
      <c r="AV15" s="43">
        <f>O15*0.1</f>
        <v>8250</v>
      </c>
      <c r="AW15" s="54">
        <f>O15*0.55</f>
        <v>45375</v>
      </c>
      <c r="AX15" s="54">
        <v>0</v>
      </c>
      <c r="AY15" s="54">
        <f>O15*0.35</f>
        <v>28875</v>
      </c>
      <c r="AZ15" s="54">
        <f>O15*0.1</f>
        <v>8250</v>
      </c>
      <c r="BA15" s="1"/>
      <c r="BB15" s="174">
        <f>L15/L28</f>
        <v>1.11E-2</v>
      </c>
      <c r="BC15" s="1"/>
      <c r="BD15" s="1"/>
      <c r="BE15" s="1"/>
      <c r="BF15" s="1"/>
      <c r="BG15" s="1"/>
      <c r="BH15" s="1"/>
      <c r="BI15" s="1"/>
      <c r="BJ15" s="1"/>
      <c r="BK15" s="1"/>
      <c r="BL15" s="1"/>
    </row>
    <row r="16" spans="1:64" ht="90" customHeight="1" x14ac:dyDescent="0.25">
      <c r="A16" s="347"/>
      <c r="B16" s="350"/>
      <c r="C16" s="28" t="s">
        <v>110</v>
      </c>
      <c r="D16" s="24">
        <v>14</v>
      </c>
      <c r="E16" s="38" t="s">
        <v>111</v>
      </c>
      <c r="F16" s="39">
        <v>3000000</v>
      </c>
      <c r="G16" s="40" t="s">
        <v>112</v>
      </c>
      <c r="H16" s="40" t="s">
        <v>102</v>
      </c>
      <c r="I16" s="40" t="s">
        <v>113</v>
      </c>
      <c r="J16" s="40" t="s">
        <v>77</v>
      </c>
      <c r="K16" s="224" t="s">
        <v>114</v>
      </c>
      <c r="L16" s="237">
        <v>3000000</v>
      </c>
      <c r="M16" s="205">
        <f>L16*0.85</f>
        <v>2550000</v>
      </c>
      <c r="N16" s="207">
        <f t="shared" si="0"/>
        <v>0.85</v>
      </c>
      <c r="O16" s="205">
        <f t="shared" si="5"/>
        <v>450000</v>
      </c>
      <c r="P16" s="239">
        <f t="shared" si="1"/>
        <v>0.15</v>
      </c>
      <c r="Q16" s="43">
        <v>0</v>
      </c>
      <c r="R16" s="40">
        <v>0</v>
      </c>
      <c r="S16" s="40">
        <v>0</v>
      </c>
      <c r="T16" s="40">
        <v>0</v>
      </c>
      <c r="U16" s="40">
        <v>0</v>
      </c>
      <c r="V16" s="40">
        <f>L16*0.4</f>
        <v>1200000</v>
      </c>
      <c r="W16" s="40">
        <f>L16*0.3</f>
        <v>900000</v>
      </c>
      <c r="X16" s="215">
        <f>L16*0.3</f>
        <v>900000</v>
      </c>
      <c r="Y16" s="48">
        <v>0</v>
      </c>
      <c r="Z16" s="46">
        <v>0</v>
      </c>
      <c r="AA16" s="46">
        <f>L16*0.5</f>
        <v>1500000</v>
      </c>
      <c r="AB16" s="46">
        <f>L16*0.5</f>
        <v>1500000</v>
      </c>
      <c r="AC16" s="43">
        <v>0</v>
      </c>
      <c r="AD16" s="43">
        <v>0</v>
      </c>
      <c r="AE16" s="43">
        <v>0</v>
      </c>
      <c r="AF16" s="43">
        <v>0</v>
      </c>
      <c r="AG16" s="43">
        <v>0</v>
      </c>
      <c r="AH16" s="43">
        <f>M16*0.4</f>
        <v>1020000</v>
      </c>
      <c r="AI16" s="43">
        <f>M16*0.3</f>
        <v>765000</v>
      </c>
      <c r="AJ16" s="43">
        <f>M16*0.3</f>
        <v>765000</v>
      </c>
      <c r="AK16" s="53">
        <v>0</v>
      </c>
      <c r="AL16" s="53">
        <v>0</v>
      </c>
      <c r="AM16" s="53">
        <f>M16*0.5</f>
        <v>1275000</v>
      </c>
      <c r="AN16" s="53">
        <f>M16*0.5</f>
        <v>1275000</v>
      </c>
      <c r="AO16" s="43">
        <v>0</v>
      </c>
      <c r="AP16" s="43">
        <v>0</v>
      </c>
      <c r="AQ16" s="43">
        <v>0</v>
      </c>
      <c r="AR16" s="43">
        <v>0</v>
      </c>
      <c r="AS16" s="43">
        <v>0</v>
      </c>
      <c r="AT16" s="43">
        <f>O16*0.4</f>
        <v>180000</v>
      </c>
      <c r="AU16" s="43">
        <f>O16*0.3</f>
        <v>135000</v>
      </c>
      <c r="AV16" s="43">
        <f>O16*0.3</f>
        <v>135000</v>
      </c>
      <c r="AW16" s="54">
        <v>0</v>
      </c>
      <c r="AX16" s="54">
        <v>0</v>
      </c>
      <c r="AY16" s="54">
        <f>O16*0.5</f>
        <v>225000</v>
      </c>
      <c r="AZ16" s="54">
        <f>O16*0.5</f>
        <v>225000</v>
      </c>
      <c r="BA16" s="1"/>
      <c r="BB16" s="174">
        <f>L16/L28</f>
        <v>6.0400000000000002E-2</v>
      </c>
      <c r="BC16" s="1"/>
      <c r="BD16" s="1"/>
      <c r="BE16" s="1"/>
      <c r="BF16" s="1"/>
      <c r="BG16" s="1"/>
      <c r="BH16" s="1"/>
      <c r="BI16" s="1"/>
      <c r="BJ16" s="1"/>
      <c r="BK16" s="1"/>
      <c r="BL16" s="1"/>
    </row>
    <row r="17" spans="1:64" ht="90" customHeight="1" x14ac:dyDescent="0.25">
      <c r="A17" s="347"/>
      <c r="B17" s="350"/>
      <c r="C17" s="28" t="s">
        <v>115</v>
      </c>
      <c r="D17" s="24">
        <v>9</v>
      </c>
      <c r="E17" s="41" t="s">
        <v>16</v>
      </c>
      <c r="F17" s="42">
        <v>3100000</v>
      </c>
      <c r="G17" s="40" t="s">
        <v>68</v>
      </c>
      <c r="H17" s="40" t="s">
        <v>70</v>
      </c>
      <c r="I17" s="40" t="s">
        <v>116</v>
      </c>
      <c r="J17" s="40" t="s">
        <v>117</v>
      </c>
      <c r="K17" s="224" t="s">
        <v>118</v>
      </c>
      <c r="L17" s="242">
        <v>1250000</v>
      </c>
      <c r="M17" s="205">
        <f>L17*0.85</f>
        <v>1062500</v>
      </c>
      <c r="N17" s="209">
        <f t="shared" si="0"/>
        <v>0.85</v>
      </c>
      <c r="O17" s="208">
        <f t="shared" si="5"/>
        <v>187500</v>
      </c>
      <c r="P17" s="243">
        <f t="shared" si="1"/>
        <v>0.15</v>
      </c>
      <c r="Q17" s="43">
        <v>0</v>
      </c>
      <c r="R17" s="40">
        <v>0</v>
      </c>
      <c r="S17" s="40">
        <v>0</v>
      </c>
      <c r="T17" s="40">
        <v>0</v>
      </c>
      <c r="U17" s="40">
        <f>L17*0.2</f>
        <v>250000</v>
      </c>
      <c r="V17" s="40">
        <f>L17*0.35</f>
        <v>437500</v>
      </c>
      <c r="W17" s="40">
        <f>L17*0.35</f>
        <v>437500</v>
      </c>
      <c r="X17" s="215">
        <f>L17*0.1</f>
        <v>125000</v>
      </c>
      <c r="Y17" s="48">
        <v>0</v>
      </c>
      <c r="Z17" s="46">
        <f>L17*0.2</f>
        <v>250000</v>
      </c>
      <c r="AA17" s="46">
        <f>L17*0.7</f>
        <v>875000</v>
      </c>
      <c r="AB17" s="46">
        <f>L17*0.1</f>
        <v>125000</v>
      </c>
      <c r="AC17" s="43">
        <v>0</v>
      </c>
      <c r="AD17" s="43">
        <v>0</v>
      </c>
      <c r="AE17" s="43">
        <v>0</v>
      </c>
      <c r="AF17" s="43">
        <v>0</v>
      </c>
      <c r="AG17" s="43">
        <f>M17*0.2</f>
        <v>212500</v>
      </c>
      <c r="AH17" s="43">
        <f>M17*0.35</f>
        <v>371875</v>
      </c>
      <c r="AI17" s="43">
        <f>M17*0.35</f>
        <v>371875</v>
      </c>
      <c r="AJ17" s="43">
        <f>M17*0.1</f>
        <v>106250</v>
      </c>
      <c r="AK17" s="53">
        <v>0</v>
      </c>
      <c r="AL17" s="53">
        <f>M17*0.2</f>
        <v>212500</v>
      </c>
      <c r="AM17" s="53">
        <f>M17*0.7</f>
        <v>743750</v>
      </c>
      <c r="AN17" s="53">
        <f>M17*0.1</f>
        <v>106250</v>
      </c>
      <c r="AO17" s="43">
        <v>0</v>
      </c>
      <c r="AP17" s="43">
        <v>0</v>
      </c>
      <c r="AQ17" s="43">
        <v>0</v>
      </c>
      <c r="AR17" s="43">
        <v>0</v>
      </c>
      <c r="AS17" s="43">
        <f>O17*0.2</f>
        <v>37500</v>
      </c>
      <c r="AT17" s="43">
        <f>O17*0.35</f>
        <v>65625</v>
      </c>
      <c r="AU17" s="43">
        <f>O17*0.35</f>
        <v>65625</v>
      </c>
      <c r="AV17" s="43">
        <f>O17*0.1</f>
        <v>18750</v>
      </c>
      <c r="AW17" s="247">
        <v>0</v>
      </c>
      <c r="AX17" s="247">
        <f>O17*0.2</f>
        <v>37500</v>
      </c>
      <c r="AY17" s="247">
        <f>O17*0.7</f>
        <v>131250</v>
      </c>
      <c r="AZ17" s="247">
        <f>O17*0.1</f>
        <v>18750</v>
      </c>
      <c r="BA17" s="1"/>
      <c r="BB17" s="174">
        <f>L17/L28</f>
        <v>2.52E-2</v>
      </c>
      <c r="BC17" s="1"/>
      <c r="BD17" s="1"/>
      <c r="BE17" s="1"/>
      <c r="BF17" s="1"/>
      <c r="BG17" s="1"/>
      <c r="BH17" s="1"/>
      <c r="BI17" s="1"/>
      <c r="BJ17" s="1"/>
      <c r="BK17" s="1"/>
      <c r="BL17" s="1"/>
    </row>
    <row r="18" spans="1:64" s="65" customFormat="1" ht="125.15" customHeight="1" x14ac:dyDescent="0.25">
      <c r="A18" s="347"/>
      <c r="B18" s="350"/>
      <c r="C18" s="66" t="s">
        <v>119</v>
      </c>
      <c r="D18" s="58"/>
      <c r="E18" s="67" t="s">
        <v>120</v>
      </c>
      <c r="F18" s="62"/>
      <c r="G18" s="61" t="s">
        <v>112</v>
      </c>
      <c r="H18" s="61"/>
      <c r="I18" s="61" t="s">
        <v>121</v>
      </c>
      <c r="J18" s="61" t="s">
        <v>77</v>
      </c>
      <c r="K18" s="226" t="s">
        <v>122</v>
      </c>
      <c r="L18" s="237">
        <v>0</v>
      </c>
      <c r="M18" s="210">
        <v>0</v>
      </c>
      <c r="N18" s="207" t="e">
        <f t="shared" si="0"/>
        <v>#DIV/0!</v>
      </c>
      <c r="O18" s="210">
        <f t="shared" si="5"/>
        <v>0</v>
      </c>
      <c r="P18" s="239" t="e">
        <f t="shared" si="1"/>
        <v>#DIV/0!</v>
      </c>
      <c r="Q18" s="69"/>
      <c r="R18" s="61"/>
      <c r="S18" s="61"/>
      <c r="T18" s="61"/>
      <c r="U18" s="61"/>
      <c r="V18" s="61"/>
      <c r="W18" s="61"/>
      <c r="X18" s="217"/>
      <c r="Y18" s="48"/>
      <c r="Z18" s="46"/>
      <c r="AA18" s="46"/>
      <c r="AB18" s="46"/>
      <c r="AC18" s="43"/>
      <c r="AD18" s="43"/>
      <c r="AE18" s="43"/>
      <c r="AF18" s="43"/>
      <c r="AG18" s="43"/>
      <c r="AH18" s="43"/>
      <c r="AI18" s="43"/>
      <c r="AJ18" s="43"/>
      <c r="AK18" s="53"/>
      <c r="AL18" s="53"/>
      <c r="AM18" s="53"/>
      <c r="AN18" s="53"/>
      <c r="AO18" s="43"/>
      <c r="AP18" s="72"/>
      <c r="AQ18" s="72"/>
      <c r="AR18" s="72"/>
      <c r="AS18" s="72"/>
      <c r="AT18" s="72"/>
      <c r="AU18" s="72"/>
      <c r="AV18" s="72"/>
      <c r="AW18" s="68"/>
      <c r="AX18" s="68"/>
      <c r="AY18" s="68"/>
      <c r="AZ18" s="68"/>
      <c r="BA18" s="64"/>
      <c r="BB18" s="175">
        <f>L18/L28</f>
        <v>0</v>
      </c>
      <c r="BC18" s="64"/>
      <c r="BD18" s="64"/>
      <c r="BE18" s="64"/>
      <c r="BF18" s="64"/>
      <c r="BG18" s="64"/>
      <c r="BH18" s="64"/>
      <c r="BI18" s="64"/>
      <c r="BJ18" s="64"/>
      <c r="BK18" s="64"/>
      <c r="BL18" s="64"/>
    </row>
    <row r="19" spans="1:64" s="65" customFormat="1" ht="128.5" customHeight="1" x14ac:dyDescent="0.25">
      <c r="A19" s="347"/>
      <c r="B19" s="350"/>
      <c r="C19" s="66" t="s">
        <v>123</v>
      </c>
      <c r="D19" s="85"/>
      <c r="E19" s="59" t="s">
        <v>120</v>
      </c>
      <c r="F19" s="60"/>
      <c r="G19" s="86" t="s">
        <v>112</v>
      </c>
      <c r="H19" s="86"/>
      <c r="I19" s="86" t="s">
        <v>103</v>
      </c>
      <c r="J19" s="86" t="s">
        <v>77</v>
      </c>
      <c r="K19" s="226" t="s">
        <v>124</v>
      </c>
      <c r="L19" s="237">
        <v>0</v>
      </c>
      <c r="M19" s="210">
        <v>0</v>
      </c>
      <c r="N19" s="207" t="e">
        <f t="shared" si="0"/>
        <v>#DIV/0!</v>
      </c>
      <c r="O19" s="210">
        <f t="shared" si="5"/>
        <v>0</v>
      </c>
      <c r="P19" s="239" t="e">
        <f t="shared" si="1"/>
        <v>#DIV/0!</v>
      </c>
      <c r="Q19" s="69"/>
      <c r="R19" s="61"/>
      <c r="S19" s="61"/>
      <c r="T19" s="61"/>
      <c r="U19" s="61"/>
      <c r="V19" s="61"/>
      <c r="W19" s="61"/>
      <c r="X19" s="217"/>
      <c r="Y19" s="48"/>
      <c r="Z19" s="46"/>
      <c r="AA19" s="46"/>
      <c r="AB19" s="46"/>
      <c r="AC19" s="43"/>
      <c r="AD19" s="43"/>
      <c r="AE19" s="43"/>
      <c r="AF19" s="43"/>
      <c r="AG19" s="43"/>
      <c r="AH19" s="43"/>
      <c r="AI19" s="43"/>
      <c r="AJ19" s="43"/>
      <c r="AK19" s="53"/>
      <c r="AL19" s="53"/>
      <c r="AM19" s="53"/>
      <c r="AN19" s="53"/>
      <c r="AO19" s="43"/>
      <c r="AP19" s="61"/>
      <c r="AQ19" s="61"/>
      <c r="AR19" s="61"/>
      <c r="AS19" s="61"/>
      <c r="AT19" s="61"/>
      <c r="AU19" s="61"/>
      <c r="AV19" s="61"/>
      <c r="AW19" s="63"/>
      <c r="AX19" s="63"/>
      <c r="AY19" s="63"/>
      <c r="AZ19" s="63"/>
      <c r="BA19" s="64"/>
      <c r="BB19" s="175">
        <f>L19/L28</f>
        <v>0</v>
      </c>
      <c r="BC19" s="64"/>
      <c r="BD19" s="64"/>
      <c r="BE19" s="64"/>
      <c r="BF19" s="64"/>
      <c r="BG19" s="64"/>
      <c r="BH19" s="64"/>
      <c r="BI19" s="64"/>
      <c r="BJ19" s="64"/>
      <c r="BK19" s="64"/>
      <c r="BL19" s="64"/>
    </row>
    <row r="20" spans="1:64" s="65" customFormat="1" ht="128.5" customHeight="1" x14ac:dyDescent="0.25">
      <c r="A20" s="347"/>
      <c r="B20" s="82"/>
      <c r="C20" s="57" t="s">
        <v>125</v>
      </c>
      <c r="D20" s="58"/>
      <c r="E20" s="67" t="s">
        <v>16</v>
      </c>
      <c r="F20" s="61" t="s">
        <v>126</v>
      </c>
      <c r="G20" s="61" t="s">
        <v>87</v>
      </c>
      <c r="H20" s="61"/>
      <c r="I20" s="61" t="s">
        <v>127</v>
      </c>
      <c r="J20" s="61" t="s">
        <v>77</v>
      </c>
      <c r="K20" s="226" t="s">
        <v>128</v>
      </c>
      <c r="L20" s="237">
        <v>0</v>
      </c>
      <c r="M20" s="210">
        <v>0</v>
      </c>
      <c r="N20" s="207" t="e">
        <f t="shared" si="0"/>
        <v>#DIV/0!</v>
      </c>
      <c r="O20" s="210">
        <f t="shared" si="5"/>
        <v>0</v>
      </c>
      <c r="P20" s="239" t="e">
        <f t="shared" si="1"/>
        <v>#DIV/0!</v>
      </c>
      <c r="Q20" s="69"/>
      <c r="R20" s="61"/>
      <c r="S20" s="61"/>
      <c r="T20" s="61"/>
      <c r="U20" s="61"/>
      <c r="V20" s="61"/>
      <c r="W20" s="61"/>
      <c r="X20" s="217"/>
      <c r="Y20" s="48"/>
      <c r="Z20" s="46"/>
      <c r="AA20" s="46"/>
      <c r="AB20" s="46"/>
      <c r="AC20" s="43"/>
      <c r="AD20" s="43"/>
      <c r="AE20" s="43"/>
      <c r="AF20" s="43"/>
      <c r="AG20" s="43"/>
      <c r="AH20" s="43"/>
      <c r="AI20" s="43"/>
      <c r="AJ20" s="43"/>
      <c r="AK20" s="53"/>
      <c r="AL20" s="53"/>
      <c r="AM20" s="53"/>
      <c r="AN20" s="53"/>
      <c r="AO20" s="43"/>
      <c r="AP20" s="69"/>
      <c r="AQ20" s="69"/>
      <c r="AR20" s="69"/>
      <c r="AS20" s="69"/>
      <c r="AT20" s="69"/>
      <c r="AU20" s="69"/>
      <c r="AV20" s="69"/>
      <c r="AW20" s="63"/>
      <c r="AX20" s="63"/>
      <c r="AY20" s="63"/>
      <c r="AZ20" s="63"/>
      <c r="BA20" s="64"/>
      <c r="BB20" s="175">
        <f>L20/L28</f>
        <v>0</v>
      </c>
      <c r="BC20" s="64"/>
      <c r="BD20" s="64"/>
      <c r="BE20" s="64"/>
      <c r="BF20" s="64"/>
      <c r="BG20" s="64"/>
      <c r="BH20" s="64"/>
      <c r="BI20" s="64"/>
      <c r="BJ20" s="64"/>
      <c r="BK20" s="64"/>
      <c r="BL20" s="64"/>
    </row>
    <row r="21" spans="1:64" ht="117.65" customHeight="1" x14ac:dyDescent="0.25">
      <c r="A21" s="347"/>
      <c r="B21" s="342" t="s">
        <v>129</v>
      </c>
      <c r="C21" s="352" t="s">
        <v>130</v>
      </c>
      <c r="D21" s="15">
        <v>15</v>
      </c>
      <c r="E21" s="43" t="s">
        <v>131</v>
      </c>
      <c r="F21" s="39">
        <v>5200000</v>
      </c>
      <c r="G21" s="40" t="s">
        <v>101</v>
      </c>
      <c r="H21" s="40" t="s">
        <v>132</v>
      </c>
      <c r="I21" s="40" t="s">
        <v>121</v>
      </c>
      <c r="J21" s="40" t="s">
        <v>133</v>
      </c>
      <c r="K21" s="224" t="s">
        <v>134</v>
      </c>
      <c r="L21" s="237">
        <v>2500000</v>
      </c>
      <c r="M21" s="205">
        <f>L21*0.85</f>
        <v>2125000</v>
      </c>
      <c r="N21" s="207">
        <f t="shared" si="0"/>
        <v>0.85</v>
      </c>
      <c r="O21" s="205">
        <f t="shared" si="5"/>
        <v>375000</v>
      </c>
      <c r="P21" s="239">
        <f t="shared" si="1"/>
        <v>0.15</v>
      </c>
      <c r="Q21" s="43">
        <f>'Cross-check'!AE21</f>
        <v>0</v>
      </c>
      <c r="R21" s="40">
        <f>'Cross-check'!AF21</f>
        <v>0</v>
      </c>
      <c r="S21" s="40">
        <f>'Cross-check'!AG21</f>
        <v>0</v>
      </c>
      <c r="T21" s="40">
        <f>'Cross-check'!AH21</f>
        <v>0</v>
      </c>
      <c r="U21" s="40">
        <f>'Cross-check'!AI21</f>
        <v>0</v>
      </c>
      <c r="V21" s="40">
        <f>L21*0.3</f>
        <v>750000</v>
      </c>
      <c r="W21" s="40">
        <f>L21*0.4</f>
        <v>1000000</v>
      </c>
      <c r="X21" s="211">
        <f>L21*0.3</f>
        <v>750000</v>
      </c>
      <c r="Y21" s="48">
        <v>0</v>
      </c>
      <c r="Z21" s="46">
        <v>0</v>
      </c>
      <c r="AA21" s="46">
        <f>L21*0.7</f>
        <v>1750000</v>
      </c>
      <c r="AB21" s="46">
        <f>L21*0.3</f>
        <v>750000</v>
      </c>
      <c r="AC21" s="43">
        <v>0</v>
      </c>
      <c r="AD21" s="43">
        <v>0</v>
      </c>
      <c r="AE21" s="43">
        <v>0</v>
      </c>
      <c r="AF21" s="43">
        <v>0</v>
      </c>
      <c r="AG21" s="43">
        <v>0</v>
      </c>
      <c r="AH21" s="43">
        <f>M21*0.3</f>
        <v>637500</v>
      </c>
      <c r="AI21" s="43">
        <f>M21*0.4</f>
        <v>850000</v>
      </c>
      <c r="AJ21" s="43">
        <f>M21*0.3</f>
        <v>637500</v>
      </c>
      <c r="AK21" s="53">
        <v>0</v>
      </c>
      <c r="AL21" s="53">
        <v>0</v>
      </c>
      <c r="AM21" s="53">
        <f>M21*0.7</f>
        <v>1487500</v>
      </c>
      <c r="AN21" s="53">
        <f>M21*0.3</f>
        <v>637500</v>
      </c>
      <c r="AO21" s="43">
        <v>0</v>
      </c>
      <c r="AP21" s="43">
        <v>0</v>
      </c>
      <c r="AQ21" s="43">
        <v>0</v>
      </c>
      <c r="AR21" s="43">
        <v>0</v>
      </c>
      <c r="AS21" s="43">
        <v>0</v>
      </c>
      <c r="AT21" s="43">
        <f>O21*0.3</f>
        <v>112500</v>
      </c>
      <c r="AU21" s="43">
        <f>O21*0.4</f>
        <v>150000</v>
      </c>
      <c r="AV21" s="43">
        <f>O21*0.3</f>
        <v>112500</v>
      </c>
      <c r="AW21" s="54">
        <v>0</v>
      </c>
      <c r="AX21" s="54">
        <v>0</v>
      </c>
      <c r="AY21" s="54">
        <f>O21*0.7</f>
        <v>262500</v>
      </c>
      <c r="AZ21" s="54">
        <f>O21*0.3</f>
        <v>112500</v>
      </c>
      <c r="BA21" s="1"/>
      <c r="BB21" s="175">
        <f>L21/L28</f>
        <v>5.0299999999999997E-2</v>
      </c>
      <c r="BC21" s="1"/>
      <c r="BD21" s="1"/>
      <c r="BE21" s="1"/>
      <c r="BF21" s="1"/>
      <c r="BG21" s="1"/>
      <c r="BH21" s="1"/>
      <c r="BI21" s="1"/>
      <c r="BJ21" s="1"/>
      <c r="BK21" s="1"/>
      <c r="BL21" s="1"/>
    </row>
    <row r="22" spans="1:64" ht="108.65" customHeight="1" x14ac:dyDescent="0.25">
      <c r="A22" s="348"/>
      <c r="B22" s="351"/>
      <c r="C22" s="353"/>
      <c r="D22" s="24">
        <v>16</v>
      </c>
      <c r="E22" s="43" t="s">
        <v>135</v>
      </c>
      <c r="F22" s="39">
        <v>300000</v>
      </c>
      <c r="G22" s="40" t="s">
        <v>68</v>
      </c>
      <c r="H22" s="40" t="s">
        <v>103</v>
      </c>
      <c r="I22" s="40" t="s">
        <v>121</v>
      </c>
      <c r="J22" s="40" t="s">
        <v>104</v>
      </c>
      <c r="K22" s="224" t="s">
        <v>136</v>
      </c>
      <c r="L22" s="237">
        <v>250000</v>
      </c>
      <c r="M22" s="205">
        <f>L22*0.85</f>
        <v>212500</v>
      </c>
      <c r="N22" s="207">
        <f t="shared" si="0"/>
        <v>0.85</v>
      </c>
      <c r="O22" s="205">
        <f t="shared" si="5"/>
        <v>37500</v>
      </c>
      <c r="P22" s="239">
        <f t="shared" si="1"/>
        <v>0.15</v>
      </c>
      <c r="Q22" s="230">
        <v>0</v>
      </c>
      <c r="R22" s="221">
        <v>0</v>
      </c>
      <c r="S22" s="221">
        <v>0</v>
      </c>
      <c r="T22" s="221">
        <v>0</v>
      </c>
      <c r="U22" s="221">
        <v>0</v>
      </c>
      <c r="V22" s="221">
        <f>L22*0.55</f>
        <v>137500</v>
      </c>
      <c r="W22" s="221">
        <f>L22*0.35</f>
        <v>87500</v>
      </c>
      <c r="X22" s="222">
        <f>L22*0.1</f>
        <v>25000</v>
      </c>
      <c r="Y22" s="48">
        <v>0</v>
      </c>
      <c r="Z22" s="46">
        <f>L22*0.55</f>
        <v>137500</v>
      </c>
      <c r="AA22" s="46">
        <f>L22*0.35</f>
        <v>87500</v>
      </c>
      <c r="AB22" s="46">
        <f>L22*0.1</f>
        <v>25000</v>
      </c>
      <c r="AC22" s="43">
        <v>0</v>
      </c>
      <c r="AD22" s="43">
        <v>0</v>
      </c>
      <c r="AE22" s="43">
        <v>0</v>
      </c>
      <c r="AF22" s="43">
        <v>0</v>
      </c>
      <c r="AG22" s="43">
        <v>0</v>
      </c>
      <c r="AH22" s="43">
        <f>M22*0.55</f>
        <v>116875</v>
      </c>
      <c r="AI22" s="43">
        <f>M22*0.35</f>
        <v>74375</v>
      </c>
      <c r="AJ22" s="43">
        <f>M22*0.1</f>
        <v>21250</v>
      </c>
      <c r="AK22" s="53">
        <v>0</v>
      </c>
      <c r="AL22" s="53">
        <f>M22*0.55</f>
        <v>116875</v>
      </c>
      <c r="AM22" s="53">
        <f>M22*0.35</f>
        <v>74375</v>
      </c>
      <c r="AN22" s="53">
        <f>M22*0.1</f>
        <v>21250</v>
      </c>
      <c r="AO22" s="43">
        <v>0</v>
      </c>
      <c r="AP22" s="43">
        <v>0</v>
      </c>
      <c r="AQ22" s="43">
        <v>0</v>
      </c>
      <c r="AR22" s="43">
        <v>0</v>
      </c>
      <c r="AS22" s="43">
        <v>0</v>
      </c>
      <c r="AT22" s="43">
        <f>O22*0.55</f>
        <v>20625</v>
      </c>
      <c r="AU22" s="43">
        <f>O22*0.35</f>
        <v>13125</v>
      </c>
      <c r="AV22" s="43">
        <f>O22*0.1</f>
        <v>3750</v>
      </c>
      <c r="AW22" s="54">
        <v>0</v>
      </c>
      <c r="AX22" s="54">
        <f>O22*0.55</f>
        <v>20625</v>
      </c>
      <c r="AY22" s="54">
        <f>O22*0.35</f>
        <v>13125</v>
      </c>
      <c r="AZ22" s="54">
        <f>O22*0.1</f>
        <v>3750</v>
      </c>
      <c r="BA22" s="1"/>
      <c r="BB22" s="175">
        <f>L22/L28</f>
        <v>5.0000000000000001E-3</v>
      </c>
      <c r="BC22" s="1"/>
      <c r="BD22" s="1"/>
      <c r="BE22" s="1"/>
      <c r="BF22" s="1"/>
      <c r="BG22" s="1"/>
      <c r="BH22" s="1"/>
      <c r="BI22" s="1"/>
      <c r="BJ22" s="1"/>
      <c r="BK22" s="1"/>
      <c r="BL22" s="1"/>
    </row>
    <row r="23" spans="1:64" s="73" customFormat="1" ht="30" customHeight="1" x14ac:dyDescent="0.25">
      <c r="A23" s="354" t="s">
        <v>137</v>
      </c>
      <c r="B23" s="32"/>
      <c r="C23" s="269"/>
      <c r="D23" s="34"/>
      <c r="E23" s="35"/>
      <c r="F23" s="36">
        <v>3060000</v>
      </c>
      <c r="G23" s="37"/>
      <c r="H23" s="37"/>
      <c r="I23" s="37"/>
      <c r="J23" s="37"/>
      <c r="K23" s="227"/>
      <c r="L23" s="240">
        <f>SUM(L24:L27)</f>
        <v>2848039</v>
      </c>
      <c r="M23" s="37">
        <f>SUM(M24:M27)</f>
        <v>2420833</v>
      </c>
      <c r="N23" s="56">
        <f t="shared" si="0"/>
        <v>0.85</v>
      </c>
      <c r="O23" s="37">
        <f>SUM(O24:O27)</f>
        <v>427206</v>
      </c>
      <c r="P23" s="241">
        <f t="shared" si="1"/>
        <v>0.15</v>
      </c>
      <c r="Q23" s="55">
        <f t="shared" ref="Q23:AZ23" si="6">SUM(Q24:Q27)</f>
        <v>656005</v>
      </c>
      <c r="R23" s="55">
        <f t="shared" si="6"/>
        <v>903505</v>
      </c>
      <c r="S23" s="55">
        <f t="shared" si="6"/>
        <v>613505</v>
      </c>
      <c r="T23" s="55">
        <f t="shared" si="6"/>
        <v>251005</v>
      </c>
      <c r="U23" s="55">
        <f t="shared" si="6"/>
        <v>106005</v>
      </c>
      <c r="V23" s="55">
        <f t="shared" si="6"/>
        <v>106005</v>
      </c>
      <c r="W23" s="55">
        <f t="shared" si="6"/>
        <v>106005</v>
      </c>
      <c r="X23" s="218">
        <f t="shared" si="6"/>
        <v>106005</v>
      </c>
      <c r="Y23" s="48">
        <f t="shared" si="6"/>
        <v>762010</v>
      </c>
      <c r="Z23" s="48">
        <f t="shared" si="6"/>
        <v>1009510</v>
      </c>
      <c r="AA23" s="48">
        <f t="shared" si="6"/>
        <v>719510</v>
      </c>
      <c r="AB23" s="48">
        <f t="shared" si="6"/>
        <v>357010</v>
      </c>
      <c r="AC23" s="48">
        <f t="shared" si="6"/>
        <v>557604</v>
      </c>
      <c r="AD23" s="48">
        <f t="shared" si="6"/>
        <v>767979</v>
      </c>
      <c r="AE23" s="48">
        <f t="shared" si="6"/>
        <v>521479</v>
      </c>
      <c r="AF23" s="48">
        <f t="shared" si="6"/>
        <v>213354</v>
      </c>
      <c r="AG23" s="48">
        <f t="shared" si="6"/>
        <v>90104</v>
      </c>
      <c r="AH23" s="48">
        <f t="shared" si="6"/>
        <v>90104</v>
      </c>
      <c r="AI23" s="48">
        <f t="shared" si="6"/>
        <v>90104</v>
      </c>
      <c r="AJ23" s="48">
        <f t="shared" si="6"/>
        <v>90104</v>
      </c>
      <c r="AK23" s="37">
        <f t="shared" si="6"/>
        <v>647709</v>
      </c>
      <c r="AL23" s="37">
        <f t="shared" si="6"/>
        <v>858083</v>
      </c>
      <c r="AM23" s="37">
        <f t="shared" si="6"/>
        <v>611583</v>
      </c>
      <c r="AN23" s="37">
        <f t="shared" si="6"/>
        <v>303458</v>
      </c>
      <c r="AO23" s="37">
        <f t="shared" si="6"/>
        <v>98401</v>
      </c>
      <c r="AP23" s="55">
        <f t="shared" si="6"/>
        <v>135526</v>
      </c>
      <c r="AQ23" s="55">
        <f t="shared" si="6"/>
        <v>92026</v>
      </c>
      <c r="AR23" s="55">
        <f t="shared" si="6"/>
        <v>37651</v>
      </c>
      <c r="AS23" s="55">
        <f t="shared" si="6"/>
        <v>15901</v>
      </c>
      <c r="AT23" s="55">
        <f t="shared" si="6"/>
        <v>15901</v>
      </c>
      <c r="AU23" s="55">
        <f t="shared" si="6"/>
        <v>15901</v>
      </c>
      <c r="AV23" s="55">
        <f t="shared" si="6"/>
        <v>15897</v>
      </c>
      <c r="AW23" s="55">
        <f t="shared" si="6"/>
        <v>114302</v>
      </c>
      <c r="AX23" s="55">
        <f t="shared" si="6"/>
        <v>151427</v>
      </c>
      <c r="AY23" s="55">
        <f t="shared" si="6"/>
        <v>107927</v>
      </c>
      <c r="AZ23" s="55">
        <f t="shared" si="6"/>
        <v>53553</v>
      </c>
      <c r="BA23" s="71"/>
      <c r="BB23" s="175">
        <f>L23/L28</f>
        <v>5.7299999999999997E-2</v>
      </c>
      <c r="BC23" s="71"/>
      <c r="BD23" s="71"/>
      <c r="BE23" s="71"/>
      <c r="BF23" s="71"/>
      <c r="BG23" s="71"/>
      <c r="BH23" s="71"/>
      <c r="BI23" s="71"/>
      <c r="BJ23" s="71"/>
      <c r="BK23" s="71"/>
      <c r="BL23" s="71"/>
    </row>
    <row r="24" spans="1:64" s="23" customFormat="1" ht="99" customHeight="1" x14ac:dyDescent="0.3">
      <c r="A24" s="355"/>
      <c r="B24" s="357" t="s">
        <v>138</v>
      </c>
      <c r="C24" s="27" t="s">
        <v>139</v>
      </c>
      <c r="D24" s="270">
        <v>2</v>
      </c>
      <c r="E24" s="43" t="s">
        <v>16</v>
      </c>
      <c r="F24" s="246"/>
      <c r="G24" s="40" t="s">
        <v>68</v>
      </c>
      <c r="H24" s="40" t="s">
        <v>88</v>
      </c>
      <c r="I24" s="40" t="s">
        <v>140</v>
      </c>
      <c r="J24" s="40" t="s">
        <v>71</v>
      </c>
      <c r="K24" s="223" t="s">
        <v>141</v>
      </c>
      <c r="L24" s="237">
        <v>1450000</v>
      </c>
      <c r="M24" s="205">
        <f>L24*0.85</f>
        <v>1232500</v>
      </c>
      <c r="N24" s="207">
        <f t="shared" si="0"/>
        <v>0.85</v>
      </c>
      <c r="O24" s="205">
        <f>L24-M24</f>
        <v>217500</v>
      </c>
      <c r="P24" s="239">
        <f t="shared" si="1"/>
        <v>0.15</v>
      </c>
      <c r="Q24" s="43">
        <f>L24*0.2</f>
        <v>290000</v>
      </c>
      <c r="R24" s="40">
        <f>L24*0.35</f>
        <v>507500</v>
      </c>
      <c r="S24" s="40">
        <f>L24*0.35</f>
        <v>507500</v>
      </c>
      <c r="T24" s="40">
        <f>L24*0.1</f>
        <v>145000</v>
      </c>
      <c r="U24" s="40">
        <v>0</v>
      </c>
      <c r="V24" s="40">
        <v>0</v>
      </c>
      <c r="W24" s="40">
        <v>0</v>
      </c>
      <c r="X24" s="215">
        <v>0</v>
      </c>
      <c r="Y24" s="212">
        <f>L24*0.2</f>
        <v>290000</v>
      </c>
      <c r="Z24" s="46">
        <f>L24*0.35</f>
        <v>507500</v>
      </c>
      <c r="AA24" s="46">
        <f>L24*0.35</f>
        <v>507500</v>
      </c>
      <c r="AB24" s="46">
        <f>L24*0.1</f>
        <v>145000</v>
      </c>
      <c r="AC24" s="43">
        <f>M24*0.2</f>
        <v>246500</v>
      </c>
      <c r="AD24" s="43">
        <f>M24*0.35</f>
        <v>431375</v>
      </c>
      <c r="AE24" s="43">
        <f>M24*0.35</f>
        <v>431375</v>
      </c>
      <c r="AF24" s="43">
        <f>M24*0.1</f>
        <v>123250</v>
      </c>
      <c r="AG24" s="43">
        <v>0</v>
      </c>
      <c r="AH24" s="43">
        <v>0</v>
      </c>
      <c r="AI24" s="43">
        <v>0</v>
      </c>
      <c r="AJ24" s="43">
        <v>0</v>
      </c>
      <c r="AK24" s="53">
        <f>M24*0.2</f>
        <v>246500</v>
      </c>
      <c r="AL24" s="53">
        <f>M24*0.35</f>
        <v>431375</v>
      </c>
      <c r="AM24" s="53">
        <f>M24*0.35</f>
        <v>431375</v>
      </c>
      <c r="AN24" s="53">
        <f>M24*0.1</f>
        <v>123250</v>
      </c>
      <c r="AO24" s="43">
        <f>O24*0.2</f>
        <v>43500</v>
      </c>
      <c r="AP24" s="43">
        <f>O24*0.35</f>
        <v>76125</v>
      </c>
      <c r="AQ24" s="43">
        <f>O24*0.35</f>
        <v>76125</v>
      </c>
      <c r="AR24" s="43">
        <f>O24*0.1</f>
        <v>21750</v>
      </c>
      <c r="AS24" s="43">
        <v>0</v>
      </c>
      <c r="AT24" s="43">
        <v>0</v>
      </c>
      <c r="AU24" s="43">
        <v>0</v>
      </c>
      <c r="AV24" s="43">
        <v>0</v>
      </c>
      <c r="AW24" s="54">
        <f>O24*0.2</f>
        <v>43500</v>
      </c>
      <c r="AX24" s="54">
        <f>O24*0.35</f>
        <v>76125</v>
      </c>
      <c r="AY24" s="54">
        <f>O24*0.35</f>
        <v>76125</v>
      </c>
      <c r="AZ24" s="54">
        <f>O24*0.1</f>
        <v>21750</v>
      </c>
      <c r="BA24" s="22"/>
      <c r="BB24" s="175">
        <f>L24/L28</f>
        <v>2.92E-2</v>
      </c>
      <c r="BC24" s="22"/>
      <c r="BD24" s="22"/>
      <c r="BE24" s="22"/>
      <c r="BF24" s="22"/>
      <c r="BG24" s="22"/>
      <c r="BH24" s="22"/>
      <c r="BI24" s="22"/>
      <c r="BJ24" s="22"/>
      <c r="BK24" s="22"/>
      <c r="BL24" s="22"/>
    </row>
    <row r="25" spans="1:64" ht="56.25" customHeight="1" x14ac:dyDescent="0.25">
      <c r="A25" s="355"/>
      <c r="B25" s="358"/>
      <c r="C25" s="27" t="s">
        <v>142</v>
      </c>
      <c r="D25" s="270">
        <v>11</v>
      </c>
      <c r="E25" s="43" t="s">
        <v>143</v>
      </c>
      <c r="F25" s="39"/>
      <c r="G25" s="40" t="s">
        <v>87</v>
      </c>
      <c r="H25" s="40" t="s">
        <v>140</v>
      </c>
      <c r="I25" s="40" t="s">
        <v>144</v>
      </c>
      <c r="J25" s="40" t="s">
        <v>145</v>
      </c>
      <c r="K25" s="223" t="s">
        <v>146</v>
      </c>
      <c r="L25" s="237">
        <v>100000</v>
      </c>
      <c r="M25" s="205">
        <f>L25*0.85</f>
        <v>85000</v>
      </c>
      <c r="N25" s="207">
        <f t="shared" si="0"/>
        <v>0.85</v>
      </c>
      <c r="O25" s="205">
        <f>L25-M25</f>
        <v>15000</v>
      </c>
      <c r="P25" s="239">
        <f t="shared" si="1"/>
        <v>0.15</v>
      </c>
      <c r="Q25" s="43">
        <f>L25*0.8</f>
        <v>80000</v>
      </c>
      <c r="R25" s="40">
        <f>L25*0.2</f>
        <v>20000</v>
      </c>
      <c r="S25" s="40">
        <v>0</v>
      </c>
      <c r="T25" s="40">
        <v>0</v>
      </c>
      <c r="U25" s="40">
        <v>0</v>
      </c>
      <c r="V25" s="40">
        <v>0</v>
      </c>
      <c r="W25" s="40">
        <v>0</v>
      </c>
      <c r="X25" s="215">
        <v>0</v>
      </c>
      <c r="Y25" s="212">
        <f>L25*0.8</f>
        <v>80000</v>
      </c>
      <c r="Z25" s="46">
        <f>L25*0.2</f>
        <v>20000</v>
      </c>
      <c r="AA25" s="46">
        <v>0</v>
      </c>
      <c r="AB25" s="46">
        <v>0</v>
      </c>
      <c r="AC25" s="43">
        <f>M25*0.8</f>
        <v>68000</v>
      </c>
      <c r="AD25" s="43">
        <f>M25*0.2</f>
        <v>17000</v>
      </c>
      <c r="AE25" s="43">
        <v>0</v>
      </c>
      <c r="AF25" s="43">
        <v>0</v>
      </c>
      <c r="AG25" s="43">
        <v>0</v>
      </c>
      <c r="AH25" s="43">
        <v>0</v>
      </c>
      <c r="AI25" s="43">
        <v>0</v>
      </c>
      <c r="AJ25" s="43">
        <v>0</v>
      </c>
      <c r="AK25" s="53">
        <f>M25*0.8</f>
        <v>68000</v>
      </c>
      <c r="AL25" s="53">
        <f>M25*0.2</f>
        <v>17000</v>
      </c>
      <c r="AM25" s="53">
        <v>0</v>
      </c>
      <c r="AN25" s="53">
        <v>0</v>
      </c>
      <c r="AO25" s="43">
        <f>O25*0.8</f>
        <v>12000</v>
      </c>
      <c r="AP25" s="43">
        <f>O25*0.2</f>
        <v>3000</v>
      </c>
      <c r="AQ25" s="43">
        <v>0</v>
      </c>
      <c r="AR25" s="43">
        <v>0</v>
      </c>
      <c r="AS25" s="43">
        <v>0</v>
      </c>
      <c r="AT25" s="43">
        <v>0</v>
      </c>
      <c r="AU25" s="43">
        <v>0</v>
      </c>
      <c r="AV25" s="43">
        <v>0</v>
      </c>
      <c r="AW25" s="54">
        <f>O25*0.8</f>
        <v>12000</v>
      </c>
      <c r="AX25" s="54">
        <f>O25*0.2</f>
        <v>3000</v>
      </c>
      <c r="AY25" s="54">
        <v>0</v>
      </c>
      <c r="AZ25" s="54">
        <v>0</v>
      </c>
      <c r="BA25" s="1"/>
      <c r="BB25" s="175">
        <f>L25/L28</f>
        <v>2E-3</v>
      </c>
      <c r="BC25" s="1"/>
      <c r="BD25" s="1"/>
      <c r="BE25" s="1"/>
      <c r="BF25" s="1"/>
      <c r="BG25" s="1"/>
      <c r="BH25" s="1"/>
      <c r="BI25" s="1"/>
      <c r="BJ25" s="1"/>
      <c r="BK25" s="1"/>
      <c r="BL25" s="1"/>
    </row>
    <row r="26" spans="1:64" ht="55.5" customHeight="1" x14ac:dyDescent="0.25">
      <c r="A26" s="355"/>
      <c r="B26" s="358"/>
      <c r="C26" s="27" t="s">
        <v>147</v>
      </c>
      <c r="D26" s="270">
        <v>12</v>
      </c>
      <c r="E26" s="51" t="s">
        <v>148</v>
      </c>
      <c r="F26" s="52"/>
      <c r="G26" s="40" t="s">
        <v>149</v>
      </c>
      <c r="H26" s="40" t="s">
        <v>140</v>
      </c>
      <c r="I26" s="40" t="s">
        <v>144</v>
      </c>
      <c r="J26" s="40" t="s">
        <v>145</v>
      </c>
      <c r="K26" s="223" t="s">
        <v>150</v>
      </c>
      <c r="L26" s="237">
        <v>450000</v>
      </c>
      <c r="M26" s="205">
        <f>L26*0.85</f>
        <v>382500</v>
      </c>
      <c r="N26" s="207">
        <f t="shared" si="0"/>
        <v>0.85</v>
      </c>
      <c r="O26" s="205">
        <f>L26-M26</f>
        <v>67500</v>
      </c>
      <c r="P26" s="239">
        <f t="shared" si="1"/>
        <v>0.15</v>
      </c>
      <c r="Q26" s="43">
        <f>L26*0.4</f>
        <v>180000</v>
      </c>
      <c r="R26" s="40">
        <f>L26*0.6</f>
        <v>270000</v>
      </c>
      <c r="S26" s="40">
        <v>0</v>
      </c>
      <c r="T26" s="40">
        <v>0</v>
      </c>
      <c r="U26" s="40">
        <v>0</v>
      </c>
      <c r="V26" s="40">
        <v>0</v>
      </c>
      <c r="W26" s="40">
        <v>0</v>
      </c>
      <c r="X26" s="215">
        <v>0</v>
      </c>
      <c r="Y26" s="212">
        <f>L26*0.4</f>
        <v>180000</v>
      </c>
      <c r="Z26" s="46">
        <f>L26*0.6</f>
        <v>270000</v>
      </c>
      <c r="AA26" s="46">
        <v>0</v>
      </c>
      <c r="AB26" s="46">
        <v>0</v>
      </c>
      <c r="AC26" s="43">
        <f>M26*0.4</f>
        <v>153000</v>
      </c>
      <c r="AD26" s="43">
        <f>M26*0.6</f>
        <v>229500</v>
      </c>
      <c r="AE26" s="43">
        <v>0</v>
      </c>
      <c r="AF26" s="43">
        <v>0</v>
      </c>
      <c r="AG26" s="43">
        <v>0</v>
      </c>
      <c r="AH26" s="43">
        <v>0</v>
      </c>
      <c r="AI26" s="43">
        <v>0</v>
      </c>
      <c r="AJ26" s="43">
        <v>0</v>
      </c>
      <c r="AK26" s="53">
        <f>M26*0.4</f>
        <v>153000</v>
      </c>
      <c r="AL26" s="53">
        <f>M26*0.6</f>
        <v>229500</v>
      </c>
      <c r="AM26" s="53">
        <v>0</v>
      </c>
      <c r="AN26" s="53">
        <v>0</v>
      </c>
      <c r="AO26" s="43">
        <f>O26*0.4</f>
        <v>27000</v>
      </c>
      <c r="AP26" s="43">
        <f>O26*0.6</f>
        <v>40500</v>
      </c>
      <c r="AQ26" s="43">
        <v>0</v>
      </c>
      <c r="AR26" s="43">
        <v>0</v>
      </c>
      <c r="AS26" s="43">
        <v>0</v>
      </c>
      <c r="AT26" s="43">
        <v>0</v>
      </c>
      <c r="AU26" s="43">
        <v>0</v>
      </c>
      <c r="AV26" s="43">
        <v>0</v>
      </c>
      <c r="AW26" s="54">
        <f>O26*0.4</f>
        <v>27000</v>
      </c>
      <c r="AX26" s="54">
        <f>O26*0.6</f>
        <v>40500</v>
      </c>
      <c r="AY26" s="54">
        <v>0</v>
      </c>
      <c r="AZ26" s="54">
        <v>0</v>
      </c>
      <c r="BA26" s="1"/>
      <c r="BB26" s="175">
        <f>L26/L28</f>
        <v>9.1000000000000004E-3</v>
      </c>
      <c r="BC26" s="1"/>
      <c r="BD26" s="1"/>
      <c r="BE26" s="1"/>
      <c r="BF26" s="1"/>
      <c r="BG26" s="1"/>
      <c r="BH26" s="1"/>
      <c r="BI26" s="1"/>
      <c r="BJ26" s="1"/>
      <c r="BK26" s="1"/>
      <c r="BL26" s="1"/>
    </row>
    <row r="27" spans="1:64" ht="48.75" customHeight="1" x14ac:dyDescent="0.25">
      <c r="A27" s="356"/>
      <c r="B27" s="359"/>
      <c r="C27" s="27" t="s">
        <v>151</v>
      </c>
      <c r="D27" s="270"/>
      <c r="E27" s="51" t="s">
        <v>152</v>
      </c>
      <c r="F27" s="52"/>
      <c r="G27" s="40" t="s">
        <v>126</v>
      </c>
      <c r="H27" s="40" t="s">
        <v>153</v>
      </c>
      <c r="I27" s="40" t="s">
        <v>89</v>
      </c>
      <c r="J27" s="40" t="s">
        <v>154</v>
      </c>
      <c r="K27" s="228" t="s">
        <v>155</v>
      </c>
      <c r="L27" s="237">
        <v>848039</v>
      </c>
      <c r="M27" s="205">
        <f>L27*0.85</f>
        <v>720833</v>
      </c>
      <c r="N27" s="207">
        <f t="shared" si="0"/>
        <v>0.85</v>
      </c>
      <c r="O27" s="205">
        <f>L27-M27</f>
        <v>127206</v>
      </c>
      <c r="P27" s="239">
        <f t="shared" si="1"/>
        <v>0.15</v>
      </c>
      <c r="Q27" s="43">
        <f>L27*(1/8)</f>
        <v>106005</v>
      </c>
      <c r="R27" s="40">
        <f>L27*(1/8)</f>
        <v>106005</v>
      </c>
      <c r="S27" s="40">
        <f>L27*(1/8)</f>
        <v>106005</v>
      </c>
      <c r="T27" s="40">
        <f>L27*(1/8)</f>
        <v>106005</v>
      </c>
      <c r="U27" s="40">
        <f>L27*(1/8)</f>
        <v>106005</v>
      </c>
      <c r="V27" s="40">
        <f>L27*(1/8)</f>
        <v>106005</v>
      </c>
      <c r="W27" s="40">
        <f>L27*(1/8)</f>
        <v>106005</v>
      </c>
      <c r="X27" s="215">
        <f>L27*(1/8)</f>
        <v>106005</v>
      </c>
      <c r="Y27" s="212">
        <f>L27*0.25</f>
        <v>212010</v>
      </c>
      <c r="Z27" s="46">
        <f>L27*0.25</f>
        <v>212010</v>
      </c>
      <c r="AA27" s="46">
        <f>L27*0.25</f>
        <v>212010</v>
      </c>
      <c r="AB27" s="46">
        <f>L27*0.25</f>
        <v>212010</v>
      </c>
      <c r="AC27" s="43">
        <f>M27*(1/8)</f>
        <v>90104</v>
      </c>
      <c r="AD27" s="43">
        <f>M27*(1/8)</f>
        <v>90104</v>
      </c>
      <c r="AE27" s="43">
        <f>M27*(1/8)</f>
        <v>90104</v>
      </c>
      <c r="AF27" s="43">
        <f>M27*(1/8)</f>
        <v>90104</v>
      </c>
      <c r="AG27" s="43">
        <f>M27*(1/8)</f>
        <v>90104</v>
      </c>
      <c r="AH27" s="43">
        <f>M27*(1/8)</f>
        <v>90104</v>
      </c>
      <c r="AI27" s="43">
        <f>M27*(1/8)</f>
        <v>90104</v>
      </c>
      <c r="AJ27" s="43">
        <f>M27*(1/8)</f>
        <v>90104</v>
      </c>
      <c r="AK27" s="446">
        <v>180209</v>
      </c>
      <c r="AL27" s="53">
        <f>M27*0.25</f>
        <v>180208</v>
      </c>
      <c r="AM27" s="53">
        <f>M27*0.25</f>
        <v>180208</v>
      </c>
      <c r="AN27" s="53">
        <f>M27*0.25</f>
        <v>180208</v>
      </c>
      <c r="AO27" s="43">
        <f>O27*(1/8)</f>
        <v>15901</v>
      </c>
      <c r="AP27" s="43">
        <f>O27*(1/8)</f>
        <v>15901</v>
      </c>
      <c r="AQ27" s="43">
        <f>O27*(1/8)</f>
        <v>15901</v>
      </c>
      <c r="AR27" s="43">
        <f>O27*(1/8)</f>
        <v>15901</v>
      </c>
      <c r="AS27" s="43">
        <f>O27*(1/8)</f>
        <v>15901</v>
      </c>
      <c r="AT27" s="43">
        <f>O27*(1/8)</f>
        <v>15901</v>
      </c>
      <c r="AU27" s="43">
        <f>O27*(1/8)</f>
        <v>15901</v>
      </c>
      <c r="AV27" s="43">
        <f>O27*(1/8)-4</f>
        <v>15897</v>
      </c>
      <c r="AW27" s="54">
        <f>O27*0.25</f>
        <v>31802</v>
      </c>
      <c r="AX27" s="54">
        <f>O27*0.25</f>
        <v>31802</v>
      </c>
      <c r="AY27" s="54">
        <f>O27*0.25</f>
        <v>31802</v>
      </c>
      <c r="AZ27" s="447">
        <v>31803</v>
      </c>
      <c r="BA27" s="1"/>
      <c r="BB27" s="175">
        <f>L27/L28</f>
        <v>1.7100000000000001E-2</v>
      </c>
      <c r="BC27" s="1"/>
      <c r="BD27" s="1"/>
      <c r="BE27" s="1"/>
      <c r="BF27" s="1"/>
      <c r="BG27" s="1"/>
      <c r="BH27" s="1"/>
      <c r="BI27" s="1"/>
      <c r="BJ27" s="1"/>
      <c r="BK27" s="1"/>
      <c r="BL27" s="1"/>
    </row>
    <row r="28" spans="1:64" s="81" customFormat="1" ht="53.15" customHeight="1" x14ac:dyDescent="0.35">
      <c r="A28" s="74"/>
      <c r="B28" s="75"/>
      <c r="C28" s="76"/>
      <c r="D28" s="77"/>
      <c r="E28" s="78"/>
      <c r="F28" s="78"/>
      <c r="G28" s="77"/>
      <c r="H28" s="77"/>
      <c r="I28" s="77"/>
      <c r="J28" s="77"/>
      <c r="K28" s="229" t="s">
        <v>24</v>
      </c>
      <c r="L28" s="244">
        <f>L6+L13+L23+2</f>
        <v>49668041</v>
      </c>
      <c r="M28" s="245">
        <f>M6+M13+M23</f>
        <v>40000000</v>
      </c>
      <c r="N28" s="248">
        <f t="shared" si="0"/>
        <v>0.80530000000000002</v>
      </c>
      <c r="O28" s="245">
        <f>O23+O13+O6+2</f>
        <v>9668041</v>
      </c>
      <c r="P28" s="249">
        <f t="shared" si="1"/>
        <v>0.19470000000000001</v>
      </c>
      <c r="Q28" s="231">
        <f t="shared" ref="Q28:X28" si="7">Q23+Q13+Q6</f>
        <v>656005</v>
      </c>
      <c r="R28" s="219">
        <f t="shared" si="7"/>
        <v>2187505</v>
      </c>
      <c r="S28" s="219">
        <f t="shared" si="7"/>
        <v>7535505</v>
      </c>
      <c r="T28" s="219">
        <f t="shared" si="7"/>
        <v>7379255</v>
      </c>
      <c r="U28" s="219">
        <f t="shared" si="7"/>
        <v>7401755</v>
      </c>
      <c r="V28" s="219">
        <f t="shared" si="7"/>
        <v>9257255</v>
      </c>
      <c r="W28" s="219">
        <f t="shared" si="7"/>
        <v>8829755</v>
      </c>
      <c r="X28" s="220">
        <f t="shared" si="7"/>
        <v>6421005</v>
      </c>
      <c r="Y28" s="213">
        <f>Y6+Y13+Y23+1</f>
        <v>8096652</v>
      </c>
      <c r="Z28" s="79">
        <f>Z6+Z13+Z23</f>
        <v>11618338</v>
      </c>
      <c r="AA28" s="79">
        <f>AA6+AA13+AA23</f>
        <v>17220838</v>
      </c>
      <c r="AB28" s="79">
        <f>AB6+AB13+AB23+1</f>
        <v>12732213</v>
      </c>
      <c r="AC28" s="70">
        <f t="shared" ref="AC28:AJ28" si="8">AC6+AC13+AC23</f>
        <v>557604</v>
      </c>
      <c r="AD28" s="70">
        <f t="shared" si="8"/>
        <v>1779979</v>
      </c>
      <c r="AE28" s="70">
        <f t="shared" si="8"/>
        <v>5902062</v>
      </c>
      <c r="AF28" s="70">
        <f t="shared" si="8"/>
        <v>5814771</v>
      </c>
      <c r="AG28" s="70">
        <f t="shared" si="8"/>
        <v>5933146</v>
      </c>
      <c r="AH28" s="70">
        <f t="shared" si="8"/>
        <v>7550021</v>
      </c>
      <c r="AI28" s="70">
        <f t="shared" si="8"/>
        <v>7186646</v>
      </c>
      <c r="AJ28" s="70">
        <f t="shared" si="8"/>
        <v>5275771</v>
      </c>
      <c r="AK28" s="79">
        <f>AK23+AK13+AK6</f>
        <v>6500000</v>
      </c>
      <c r="AL28" s="79">
        <f>AL6+AL13+AL23</f>
        <v>9246257</v>
      </c>
      <c r="AM28" s="79">
        <f>AM6+AM13+AM23</f>
        <v>14008382</v>
      </c>
      <c r="AN28" s="79">
        <f>AN6+AN13+AN23-1</f>
        <v>10245360</v>
      </c>
      <c r="AO28" s="70">
        <f>AO6+AO13+AO23+3</f>
        <v>98404</v>
      </c>
      <c r="AP28" s="70">
        <f t="shared" ref="AP28:AU28" si="9">AP6+AP13+AP23</f>
        <v>407526</v>
      </c>
      <c r="AQ28" s="70">
        <f t="shared" si="9"/>
        <v>1633443</v>
      </c>
      <c r="AR28" s="70">
        <f t="shared" si="9"/>
        <v>1564484</v>
      </c>
      <c r="AS28" s="70">
        <f t="shared" si="9"/>
        <v>1468609</v>
      </c>
      <c r="AT28" s="70">
        <f t="shared" si="9"/>
        <v>1707234</v>
      </c>
      <c r="AU28" s="70">
        <f t="shared" si="9"/>
        <v>1643109</v>
      </c>
      <c r="AV28" s="70">
        <f>AV6+AV13+AV23+3</f>
        <v>1145233</v>
      </c>
      <c r="AW28" s="79">
        <f>AW6+AW13+AW23</f>
        <v>1596652</v>
      </c>
      <c r="AX28" s="79">
        <f>AX6+AX13+AX23</f>
        <v>2372081</v>
      </c>
      <c r="AY28" s="79">
        <f>AY6+AY13+AY23</f>
        <v>3212456</v>
      </c>
      <c r="AZ28" s="79">
        <f>AZ6+AZ13+AZ23</f>
        <v>2486852</v>
      </c>
      <c r="BA28" s="80"/>
      <c r="BB28" s="175"/>
      <c r="BC28" s="80"/>
      <c r="BD28" s="80"/>
      <c r="BE28" s="80"/>
      <c r="BF28" s="80"/>
      <c r="BG28" s="80"/>
      <c r="BH28" s="80"/>
      <c r="BI28" s="80"/>
      <c r="BJ28" s="80"/>
      <c r="BK28" s="80"/>
      <c r="BL28" s="80"/>
    </row>
    <row r="29" spans="1:64" x14ac:dyDescent="0.25">
      <c r="A29" s="25"/>
      <c r="B29" s="25"/>
      <c r="C29" s="29"/>
      <c r="D29" s="22"/>
      <c r="E29" s="1"/>
      <c r="F29" s="1"/>
      <c r="G29" s="1"/>
      <c r="H29" s="1"/>
      <c r="I29" s="1"/>
      <c r="J29" s="1"/>
      <c r="K29" s="26"/>
      <c r="L29" s="1"/>
      <c r="M29" s="1"/>
      <c r="N29" s="1"/>
      <c r="O29" s="1"/>
      <c r="P29" s="1"/>
      <c r="Y29" s="1"/>
      <c r="Z29" s="1"/>
      <c r="AA29" s="1"/>
      <c r="AB29" s="1"/>
      <c r="BA29" s="1"/>
      <c r="BB29" s="1"/>
      <c r="BC29" s="1"/>
      <c r="BD29" s="1"/>
      <c r="BE29" s="1"/>
      <c r="BF29" s="1"/>
      <c r="BG29" s="1"/>
      <c r="BH29" s="1"/>
      <c r="BI29" s="1"/>
      <c r="BJ29" s="1"/>
      <c r="BK29" s="1"/>
      <c r="BL29" s="1"/>
    </row>
    <row r="30" spans="1:64" x14ac:dyDescent="0.25">
      <c r="A30" s="1"/>
      <c r="B30" s="1"/>
      <c r="C30" s="30"/>
      <c r="D30" s="20"/>
      <c r="E30" s="1"/>
      <c r="F30" s="1"/>
      <c r="G30" s="1"/>
      <c r="H30" s="1"/>
      <c r="I30" s="1"/>
      <c r="J30" s="1"/>
      <c r="K30" s="1"/>
      <c r="L30" s="1"/>
      <c r="M30" s="1"/>
      <c r="N30" s="1"/>
      <c r="O30" s="1"/>
      <c r="P30" s="1"/>
      <c r="Y30" s="7"/>
      <c r="Z30" s="7"/>
      <c r="AA30" s="7"/>
      <c r="AB30" s="7"/>
      <c r="BA30" s="1"/>
      <c r="BB30" s="1"/>
      <c r="BC30" s="1"/>
      <c r="BD30" s="1"/>
      <c r="BE30" s="1"/>
      <c r="BF30" s="1"/>
      <c r="BG30" s="1"/>
      <c r="BH30" s="1"/>
      <c r="BI30" s="1"/>
      <c r="BJ30" s="1"/>
      <c r="BK30" s="1"/>
      <c r="BL30" s="1"/>
    </row>
    <row r="31" spans="1:64" x14ac:dyDescent="0.25">
      <c r="A31" s="1"/>
      <c r="B31" s="1"/>
      <c r="C31" s="30"/>
      <c r="D31" s="20"/>
      <c r="E31" s="1"/>
      <c r="F31" s="1"/>
      <c r="G31" s="1"/>
      <c r="H31" s="1"/>
      <c r="I31" s="1"/>
      <c r="J31" s="1"/>
      <c r="K31" s="1"/>
      <c r="L31" s="1"/>
      <c r="M31" s="1"/>
      <c r="N31" s="1"/>
      <c r="O31" s="1"/>
      <c r="P31" s="1"/>
      <c r="Y31" s="1"/>
      <c r="Z31" s="1"/>
      <c r="AA31" s="1"/>
      <c r="AB31" s="1"/>
      <c r="BA31" s="1"/>
      <c r="BB31" s="1"/>
      <c r="BC31" s="1"/>
      <c r="BD31" s="1"/>
      <c r="BE31" s="1"/>
      <c r="BF31" s="1"/>
      <c r="BG31" s="1"/>
      <c r="BH31" s="1"/>
      <c r="BI31" s="1"/>
      <c r="BJ31" s="1"/>
      <c r="BK31" s="1"/>
      <c r="BL31" s="1"/>
    </row>
    <row r="32" spans="1:64" x14ac:dyDescent="0.25">
      <c r="A32" s="1"/>
      <c r="B32" s="1"/>
      <c r="C32" s="30"/>
      <c r="D32" s="20"/>
      <c r="E32" s="1"/>
      <c r="F32" s="1"/>
      <c r="G32" s="1"/>
      <c r="H32" s="1"/>
      <c r="I32" s="1"/>
      <c r="J32" s="1"/>
      <c r="K32" s="1"/>
      <c r="L32" s="1"/>
      <c r="M32" s="9">
        <f>M28/L28</f>
        <v>0.80534684265079004</v>
      </c>
      <c r="N32" s="9"/>
      <c r="O32" s="1"/>
      <c r="P32" s="1"/>
      <c r="Y32" s="1"/>
      <c r="Z32" s="1"/>
      <c r="AA32" s="1"/>
      <c r="AB32" s="1"/>
      <c r="BA32" s="1"/>
      <c r="BB32" s="1"/>
      <c r="BC32" s="1"/>
      <c r="BD32" s="1"/>
      <c r="BE32" s="1"/>
      <c r="BF32" s="1"/>
      <c r="BG32" s="1"/>
      <c r="BH32" s="1"/>
      <c r="BI32" s="1"/>
      <c r="BJ32" s="1"/>
      <c r="BK32" s="1"/>
      <c r="BL32" s="1"/>
    </row>
    <row r="33" spans="1:64" x14ac:dyDescent="0.25">
      <c r="A33" s="1"/>
      <c r="B33" s="1"/>
      <c r="C33" s="30"/>
      <c r="D33" s="20"/>
      <c r="E33" s="1"/>
      <c r="F33" s="1"/>
      <c r="G33" s="1"/>
      <c r="H33" s="1"/>
      <c r="I33" s="1"/>
      <c r="J33" s="1"/>
      <c r="K33" s="1"/>
      <c r="L33" s="1"/>
      <c r="M33" s="9"/>
      <c r="N33" s="9"/>
      <c r="O33" s="1"/>
      <c r="P33" s="1"/>
      <c r="Y33" s="1"/>
      <c r="Z33" s="1"/>
      <c r="AA33" s="1"/>
      <c r="AB33" s="1"/>
      <c r="BA33" s="1"/>
      <c r="BB33" s="1"/>
      <c r="BC33" s="1"/>
      <c r="BD33" s="1"/>
      <c r="BE33" s="1"/>
      <c r="BF33" s="1"/>
      <c r="BG33" s="1"/>
      <c r="BH33" s="1"/>
      <c r="BI33" s="1"/>
      <c r="BJ33" s="1"/>
      <c r="BK33" s="1"/>
      <c r="BL33" s="1"/>
    </row>
    <row r="34" spans="1:64" x14ac:dyDescent="0.25">
      <c r="A34" s="1"/>
      <c r="B34" s="1"/>
      <c r="C34" s="30"/>
      <c r="D34" s="20"/>
      <c r="E34" s="1"/>
      <c r="F34" s="1"/>
      <c r="G34" s="1"/>
      <c r="H34" s="1"/>
      <c r="I34" s="1"/>
      <c r="J34" s="1"/>
      <c r="K34" s="1"/>
      <c r="L34" s="1"/>
      <c r="M34" s="9">
        <v>0.85836909871244615</v>
      </c>
      <c r="N34" s="9"/>
      <c r="O34" s="1"/>
      <c r="P34" s="1"/>
      <c r="Y34" s="1"/>
      <c r="Z34" s="1"/>
      <c r="AA34" s="1"/>
      <c r="AB34" s="1"/>
      <c r="BA34" s="1"/>
      <c r="BB34" s="1"/>
      <c r="BC34" s="1"/>
      <c r="BD34" s="1"/>
      <c r="BE34" s="1"/>
      <c r="BF34" s="1"/>
      <c r="BG34" s="1"/>
      <c r="BH34" s="1"/>
      <c r="BI34" s="1"/>
      <c r="BJ34" s="1"/>
      <c r="BK34" s="1"/>
      <c r="BL34" s="1"/>
    </row>
    <row r="35" spans="1:64" x14ac:dyDescent="0.25">
      <c r="A35" s="1"/>
      <c r="B35" s="1"/>
      <c r="C35" s="30"/>
      <c r="D35" s="20"/>
      <c r="E35" s="1"/>
      <c r="F35" s="1"/>
      <c r="G35" s="1"/>
      <c r="H35" s="1"/>
      <c r="I35" s="1"/>
      <c r="J35" s="1"/>
      <c r="K35" s="1"/>
      <c r="L35" s="1"/>
      <c r="M35" s="1"/>
      <c r="N35" s="1"/>
      <c r="O35" s="1"/>
      <c r="P35" s="1"/>
      <c r="Y35" s="1"/>
      <c r="Z35" s="1"/>
      <c r="AA35" s="1"/>
      <c r="AB35" s="1"/>
      <c r="BA35" s="1"/>
      <c r="BB35" s="1"/>
      <c r="BC35" s="1"/>
      <c r="BD35" s="1"/>
      <c r="BE35" s="1"/>
      <c r="BF35" s="1"/>
      <c r="BG35" s="1"/>
      <c r="BH35" s="1"/>
      <c r="BI35" s="1"/>
      <c r="BJ35" s="1"/>
      <c r="BK35" s="1"/>
      <c r="BL35" s="1"/>
    </row>
    <row r="36" spans="1:64" x14ac:dyDescent="0.25">
      <c r="A36" s="1"/>
      <c r="B36" s="1"/>
      <c r="C36" s="30"/>
      <c r="D36" s="20"/>
      <c r="E36" s="1"/>
      <c r="F36" s="1"/>
      <c r="G36" s="1"/>
      <c r="H36" s="1"/>
      <c r="I36" s="1"/>
      <c r="J36" s="1"/>
      <c r="K36" s="1"/>
      <c r="L36" s="1"/>
      <c r="M36" s="1"/>
      <c r="N36" s="1"/>
      <c r="O36" s="1"/>
      <c r="P36" s="1"/>
      <c r="Y36" s="1"/>
      <c r="Z36" s="1"/>
      <c r="AA36" s="1"/>
      <c r="AB36" s="1"/>
      <c r="BA36" s="1"/>
      <c r="BB36" s="1"/>
      <c r="BC36" s="1"/>
      <c r="BD36" s="1"/>
      <c r="BE36" s="1"/>
      <c r="BF36" s="1"/>
      <c r="BG36" s="1"/>
      <c r="BH36" s="1"/>
      <c r="BI36" s="1"/>
      <c r="BJ36" s="1"/>
      <c r="BK36" s="1"/>
      <c r="BL36" s="1"/>
    </row>
    <row r="37" spans="1:64" x14ac:dyDescent="0.25">
      <c r="A37" s="1"/>
      <c r="B37" s="1"/>
      <c r="C37" s="30"/>
      <c r="D37" s="20"/>
      <c r="E37" s="1"/>
      <c r="F37" s="1"/>
      <c r="G37" s="1"/>
      <c r="H37" s="1"/>
      <c r="I37" s="1"/>
      <c r="J37" s="1"/>
      <c r="K37" s="1"/>
      <c r="L37" s="1"/>
      <c r="M37" s="1"/>
      <c r="N37" s="1"/>
      <c r="O37" s="1"/>
      <c r="P37" s="1"/>
      <c r="Y37" s="1"/>
      <c r="Z37" s="1"/>
      <c r="AA37" s="1"/>
      <c r="AB37" s="1"/>
      <c r="BA37" s="1"/>
      <c r="BB37" s="1"/>
      <c r="BC37" s="1"/>
      <c r="BD37" s="1"/>
      <c r="BE37" s="1"/>
      <c r="BF37" s="1"/>
      <c r="BG37" s="1"/>
      <c r="BH37" s="1"/>
      <c r="BI37" s="1"/>
      <c r="BJ37" s="1"/>
      <c r="BK37" s="1"/>
      <c r="BL37" s="1"/>
    </row>
    <row r="38" spans="1:64" x14ac:dyDescent="0.25">
      <c r="A38" s="1"/>
      <c r="B38" s="1"/>
      <c r="C38" s="30"/>
      <c r="D38" s="20"/>
      <c r="E38" s="1"/>
      <c r="F38" s="1"/>
      <c r="G38" s="1"/>
      <c r="H38" s="1"/>
      <c r="I38" s="1"/>
      <c r="J38" s="1"/>
      <c r="K38" s="1"/>
      <c r="L38" s="1"/>
      <c r="M38" s="1"/>
      <c r="N38" s="1"/>
      <c r="O38" s="1"/>
      <c r="P38" s="1"/>
      <c r="Y38" s="1"/>
      <c r="Z38" s="1"/>
      <c r="AA38" s="1"/>
      <c r="AB38" s="1"/>
      <c r="BA38" s="1"/>
      <c r="BB38" s="1"/>
      <c r="BC38" s="1"/>
      <c r="BD38" s="1"/>
      <c r="BE38" s="1"/>
      <c r="BF38" s="1"/>
      <c r="BG38" s="1"/>
      <c r="BH38" s="1"/>
      <c r="BI38" s="1"/>
      <c r="BJ38" s="1"/>
      <c r="BK38" s="1"/>
      <c r="BL38" s="1"/>
    </row>
    <row r="39" spans="1:64" x14ac:dyDescent="0.25">
      <c r="A39" s="1"/>
      <c r="B39" s="1"/>
      <c r="C39" s="30"/>
      <c r="D39" s="20"/>
      <c r="E39" s="1"/>
      <c r="F39" s="1"/>
      <c r="G39" s="1"/>
      <c r="H39" s="1"/>
      <c r="I39" s="1"/>
      <c r="J39" s="1"/>
      <c r="K39" s="1"/>
      <c r="L39" s="1"/>
      <c r="M39" s="1"/>
      <c r="N39" s="1"/>
      <c r="O39" s="1"/>
      <c r="P39" s="1"/>
      <c r="Y39" s="1"/>
      <c r="Z39" s="1"/>
      <c r="AA39" s="1"/>
      <c r="AB39" s="1"/>
      <c r="BA39" s="1"/>
      <c r="BB39" s="1"/>
      <c r="BC39" s="1"/>
      <c r="BD39" s="1"/>
      <c r="BE39" s="1"/>
      <c r="BF39" s="1"/>
      <c r="BG39" s="1"/>
      <c r="BH39" s="1"/>
      <c r="BI39" s="1"/>
      <c r="BJ39" s="1"/>
      <c r="BK39" s="1"/>
      <c r="BL39" s="1"/>
    </row>
    <row r="40" spans="1:64" x14ac:dyDescent="0.25">
      <c r="A40" s="1"/>
      <c r="B40" s="1"/>
      <c r="C40" s="30"/>
      <c r="D40" s="20"/>
      <c r="E40" s="1"/>
      <c r="F40" s="1"/>
      <c r="G40" s="1"/>
      <c r="H40" s="1"/>
      <c r="I40" s="1"/>
      <c r="J40" s="1"/>
      <c r="K40" s="1"/>
      <c r="L40" s="1"/>
      <c r="M40" s="1"/>
      <c r="N40" s="1"/>
      <c r="O40" s="1"/>
      <c r="P40" s="1"/>
      <c r="Y40" s="1"/>
      <c r="Z40" s="1"/>
      <c r="AA40" s="1"/>
      <c r="AB40" s="1"/>
      <c r="BA40" s="1"/>
      <c r="BB40" s="1"/>
      <c r="BC40" s="1"/>
      <c r="BD40" s="1"/>
      <c r="BE40" s="1"/>
      <c r="BF40" s="1"/>
      <c r="BG40" s="1"/>
      <c r="BH40" s="1"/>
      <c r="BI40" s="1"/>
      <c r="BJ40" s="1"/>
      <c r="BK40" s="1"/>
      <c r="BL40" s="1"/>
    </row>
    <row r="41" spans="1:64" x14ac:dyDescent="0.25">
      <c r="A41" s="1"/>
      <c r="B41" s="1"/>
      <c r="C41" s="30"/>
      <c r="D41" s="20"/>
      <c r="E41" s="1"/>
      <c r="F41" s="1"/>
      <c r="G41" s="1"/>
      <c r="H41" s="1"/>
      <c r="I41" s="1"/>
      <c r="J41" s="1"/>
      <c r="K41" s="1"/>
      <c r="L41" s="1"/>
      <c r="M41" s="1"/>
      <c r="N41" s="1"/>
      <c r="O41" s="1"/>
      <c r="P41" s="1"/>
      <c r="Y41" s="1"/>
      <c r="Z41" s="1"/>
      <c r="AA41" s="1"/>
      <c r="AB41" s="1"/>
      <c r="BA41" s="1"/>
      <c r="BB41" s="1"/>
      <c r="BC41" s="1"/>
      <c r="BD41" s="1"/>
      <c r="BE41" s="1"/>
      <c r="BF41" s="1"/>
      <c r="BG41" s="1"/>
      <c r="BH41" s="1"/>
      <c r="BI41" s="1"/>
      <c r="BJ41" s="1"/>
      <c r="BK41" s="1"/>
      <c r="BL41" s="1"/>
    </row>
    <row r="42" spans="1:64" x14ac:dyDescent="0.25">
      <c r="A42" s="1"/>
      <c r="B42" s="1"/>
      <c r="C42" s="30"/>
      <c r="D42" s="20"/>
      <c r="E42" s="1"/>
      <c r="F42" s="1"/>
      <c r="G42" s="1"/>
      <c r="H42" s="1"/>
      <c r="I42" s="1"/>
      <c r="J42" s="1"/>
      <c r="K42" s="1"/>
      <c r="L42" s="1"/>
      <c r="M42" s="1"/>
      <c r="N42" s="1"/>
      <c r="O42" s="1"/>
      <c r="P42" s="1"/>
      <c r="Y42" s="1"/>
      <c r="Z42" s="1"/>
      <c r="AA42" s="1"/>
      <c r="AB42" s="1"/>
      <c r="BA42" s="1"/>
      <c r="BB42" s="1"/>
      <c r="BC42" s="1"/>
      <c r="BD42" s="1"/>
      <c r="BE42" s="1"/>
      <c r="BF42" s="1"/>
      <c r="BG42" s="1"/>
      <c r="BH42" s="1"/>
      <c r="BI42" s="1"/>
      <c r="BJ42" s="1"/>
      <c r="BK42" s="1"/>
      <c r="BL42" s="1"/>
    </row>
    <row r="43" spans="1:64" x14ac:dyDescent="0.25">
      <c r="A43" s="1"/>
      <c r="B43" s="1"/>
      <c r="C43" s="30"/>
      <c r="D43" s="20"/>
      <c r="E43" s="1"/>
      <c r="F43" s="1"/>
      <c r="G43" s="1"/>
      <c r="H43" s="1"/>
      <c r="I43" s="1"/>
      <c r="J43" s="1"/>
      <c r="K43" s="1"/>
      <c r="L43" s="1"/>
      <c r="M43" s="1"/>
      <c r="N43" s="1"/>
      <c r="O43" s="1"/>
      <c r="P43" s="1"/>
      <c r="Y43" s="1"/>
      <c r="Z43" s="1"/>
      <c r="AA43" s="1"/>
      <c r="AB43" s="1"/>
      <c r="BA43" s="1"/>
      <c r="BB43" s="1"/>
      <c r="BC43" s="1"/>
      <c r="BD43" s="1"/>
      <c r="BE43" s="1"/>
      <c r="BF43" s="1"/>
      <c r="BG43" s="1"/>
      <c r="BH43" s="1"/>
      <c r="BI43" s="1"/>
      <c r="BJ43" s="1"/>
      <c r="BK43" s="1"/>
      <c r="BL43" s="1"/>
    </row>
    <row r="44" spans="1:64" x14ac:dyDescent="0.25">
      <c r="A44" s="1"/>
      <c r="B44" s="1"/>
      <c r="C44" s="30"/>
      <c r="D44" s="20"/>
      <c r="E44" s="1"/>
      <c r="F44" s="1"/>
      <c r="G44" s="1"/>
      <c r="H44" s="1"/>
      <c r="I44" s="1"/>
      <c r="J44" s="1"/>
      <c r="K44" s="1"/>
      <c r="L44" s="1"/>
      <c r="M44" s="1"/>
      <c r="N44" s="1"/>
      <c r="O44" s="1"/>
      <c r="P44" s="1"/>
      <c r="Y44" s="1"/>
      <c r="Z44" s="1"/>
      <c r="AA44" s="1"/>
      <c r="AB44" s="1"/>
      <c r="BA44" s="1"/>
      <c r="BB44" s="1"/>
      <c r="BC44" s="1"/>
      <c r="BD44" s="1"/>
      <c r="BE44" s="1"/>
      <c r="BF44" s="1"/>
      <c r="BG44" s="1"/>
      <c r="BH44" s="1"/>
      <c r="BI44" s="1"/>
      <c r="BJ44" s="1"/>
      <c r="BK44" s="1"/>
      <c r="BL44" s="1"/>
    </row>
    <row r="45" spans="1:64" x14ac:dyDescent="0.25">
      <c r="A45" s="1"/>
      <c r="B45" s="1"/>
      <c r="C45" s="30"/>
      <c r="D45" s="20"/>
      <c r="E45" s="1"/>
      <c r="F45" s="1"/>
      <c r="G45" s="1"/>
      <c r="H45" s="1"/>
      <c r="I45" s="1"/>
      <c r="J45" s="1"/>
      <c r="K45" s="1"/>
      <c r="L45" s="1"/>
      <c r="M45" s="1"/>
      <c r="N45" s="1"/>
      <c r="O45" s="1"/>
      <c r="P45" s="1"/>
      <c r="Y45" s="1"/>
      <c r="Z45" s="1"/>
      <c r="AA45" s="1"/>
      <c r="AB45" s="1"/>
      <c r="BA45" s="1"/>
      <c r="BB45" s="1"/>
      <c r="BC45" s="1"/>
      <c r="BD45" s="1"/>
      <c r="BE45" s="1"/>
      <c r="BF45" s="1"/>
      <c r="BG45" s="1"/>
      <c r="BH45" s="1"/>
      <c r="BI45" s="1"/>
      <c r="BJ45" s="1"/>
      <c r="BK45" s="1"/>
      <c r="BL45" s="1"/>
    </row>
    <row r="46" spans="1:64" x14ac:dyDescent="0.25">
      <c r="A46" s="1"/>
      <c r="B46" s="1"/>
      <c r="C46" s="30"/>
      <c r="D46" s="20"/>
      <c r="E46" s="1"/>
      <c r="F46" s="1"/>
      <c r="G46" s="1"/>
      <c r="H46" s="1"/>
      <c r="I46" s="1"/>
      <c r="J46" s="1"/>
      <c r="K46" s="1"/>
      <c r="L46" s="1"/>
      <c r="M46" s="1"/>
      <c r="N46" s="1"/>
      <c r="O46" s="1"/>
      <c r="P46" s="1"/>
      <c r="Y46" s="1"/>
      <c r="Z46" s="1"/>
      <c r="AA46" s="1"/>
      <c r="AB46" s="1"/>
      <c r="BA46" s="1"/>
      <c r="BB46" s="1"/>
      <c r="BC46" s="1"/>
      <c r="BD46" s="1"/>
      <c r="BE46" s="1"/>
      <c r="BF46" s="1"/>
      <c r="BG46" s="1"/>
      <c r="BH46" s="1"/>
      <c r="BI46" s="1"/>
      <c r="BJ46" s="1"/>
      <c r="BK46" s="1"/>
      <c r="BL46" s="1"/>
    </row>
    <row r="47" spans="1:64" x14ac:dyDescent="0.25">
      <c r="A47" s="1"/>
      <c r="B47" s="1"/>
      <c r="C47" s="30"/>
      <c r="D47" s="20"/>
      <c r="E47" s="1"/>
      <c r="F47" s="1"/>
      <c r="G47" s="1"/>
      <c r="H47" s="1"/>
      <c r="I47" s="1"/>
      <c r="J47" s="1"/>
      <c r="K47" s="1"/>
      <c r="L47" s="1"/>
      <c r="M47" s="1"/>
      <c r="N47" s="1"/>
      <c r="O47" s="1"/>
      <c r="P47" s="1"/>
      <c r="Y47" s="1"/>
      <c r="Z47" s="1"/>
      <c r="AA47" s="1"/>
      <c r="AB47" s="1"/>
      <c r="BA47" s="1"/>
      <c r="BB47" s="1"/>
      <c r="BC47" s="1"/>
      <c r="BD47" s="1"/>
      <c r="BE47" s="1"/>
      <c r="BF47" s="1"/>
      <c r="BG47" s="1"/>
      <c r="BH47" s="1"/>
      <c r="BI47" s="1"/>
      <c r="BJ47" s="1"/>
      <c r="BK47" s="1"/>
      <c r="BL47" s="1"/>
    </row>
    <row r="48" spans="1:64" x14ac:dyDescent="0.25">
      <c r="A48" s="1"/>
      <c r="B48" s="1"/>
      <c r="C48" s="30"/>
      <c r="D48" s="20"/>
      <c r="E48" s="1"/>
      <c r="F48" s="1"/>
      <c r="G48" s="1"/>
      <c r="H48" s="1"/>
      <c r="I48" s="1"/>
      <c r="J48" s="1"/>
      <c r="K48" s="1"/>
      <c r="L48" s="1"/>
      <c r="M48" s="1"/>
      <c r="N48" s="1"/>
      <c r="O48" s="1"/>
      <c r="P48" s="1"/>
      <c r="Y48" s="1"/>
      <c r="Z48" s="1"/>
      <c r="AA48" s="1"/>
      <c r="AB48" s="1"/>
      <c r="BA48" s="1"/>
      <c r="BB48" s="1"/>
      <c r="BC48" s="1"/>
      <c r="BD48" s="1"/>
      <c r="BE48" s="1"/>
      <c r="BF48" s="1"/>
      <c r="BG48" s="1"/>
      <c r="BH48" s="1"/>
      <c r="BI48" s="1"/>
      <c r="BJ48" s="1"/>
      <c r="BK48" s="1"/>
      <c r="BL48" s="1"/>
    </row>
    <row r="49" spans="1:64" x14ac:dyDescent="0.25">
      <c r="A49" s="1"/>
      <c r="B49" s="1"/>
      <c r="C49" s="30"/>
      <c r="D49" s="20"/>
      <c r="E49" s="1"/>
      <c r="F49" s="1"/>
      <c r="G49" s="1"/>
      <c r="H49" s="1"/>
      <c r="I49" s="1"/>
      <c r="J49" s="1"/>
      <c r="K49" s="1"/>
      <c r="L49" s="1"/>
      <c r="M49" s="1"/>
      <c r="N49" s="1"/>
      <c r="O49" s="1"/>
      <c r="P49" s="1"/>
      <c r="Y49" s="1"/>
      <c r="Z49" s="1"/>
      <c r="AA49" s="1"/>
      <c r="AB49" s="1"/>
      <c r="BA49" s="1"/>
      <c r="BB49" s="1"/>
      <c r="BC49" s="1"/>
      <c r="BD49" s="1"/>
      <c r="BE49" s="1"/>
      <c r="BF49" s="1"/>
      <c r="BG49" s="1"/>
      <c r="BH49" s="1"/>
      <c r="BI49" s="1"/>
      <c r="BJ49" s="1"/>
      <c r="BK49" s="1"/>
      <c r="BL49" s="1"/>
    </row>
    <row r="50" spans="1:64" x14ac:dyDescent="0.25">
      <c r="A50" s="1"/>
      <c r="B50" s="1"/>
      <c r="C50" s="30"/>
      <c r="D50" s="20"/>
      <c r="E50" s="1"/>
      <c r="F50" s="1"/>
      <c r="G50" s="1"/>
      <c r="H50" s="1"/>
      <c r="I50" s="1"/>
      <c r="J50" s="1"/>
      <c r="K50" s="1"/>
      <c r="L50" s="1"/>
      <c r="M50" s="1"/>
      <c r="N50" s="1"/>
      <c r="O50" s="1"/>
      <c r="P50" s="1"/>
      <c r="Y50" s="1"/>
      <c r="Z50" s="1"/>
      <c r="AA50" s="1"/>
      <c r="AB50" s="1"/>
      <c r="BA50" s="1"/>
      <c r="BB50" s="1"/>
      <c r="BC50" s="1"/>
      <c r="BD50" s="1"/>
      <c r="BE50" s="1"/>
      <c r="BF50" s="1"/>
      <c r="BG50" s="1"/>
      <c r="BH50" s="1"/>
      <c r="BI50" s="1"/>
      <c r="BJ50" s="1"/>
      <c r="BK50" s="1"/>
      <c r="BL50" s="1"/>
    </row>
    <row r="51" spans="1:64" x14ac:dyDescent="0.25">
      <c r="A51" s="1"/>
      <c r="B51" s="1"/>
      <c r="C51" s="30"/>
      <c r="D51" s="20"/>
      <c r="E51" s="1"/>
      <c r="F51" s="1"/>
      <c r="G51" s="1"/>
      <c r="H51" s="1"/>
      <c r="I51" s="1"/>
      <c r="J51" s="1"/>
      <c r="K51" s="1"/>
      <c r="L51" s="1"/>
      <c r="M51" s="1"/>
      <c r="N51" s="1"/>
      <c r="O51" s="1"/>
      <c r="P51" s="1"/>
      <c r="Y51" s="1"/>
      <c r="Z51" s="1"/>
      <c r="AA51" s="1"/>
      <c r="AB51" s="1"/>
      <c r="BA51" s="1"/>
      <c r="BB51" s="1"/>
      <c r="BC51" s="1"/>
      <c r="BD51" s="1"/>
      <c r="BE51" s="1"/>
      <c r="BF51" s="1"/>
      <c r="BG51" s="1"/>
      <c r="BH51" s="1"/>
      <c r="BI51" s="1"/>
      <c r="BJ51" s="1"/>
      <c r="BK51" s="1"/>
      <c r="BL51" s="1"/>
    </row>
    <row r="52" spans="1:64" x14ac:dyDescent="0.25">
      <c r="A52" s="1"/>
      <c r="B52" s="1"/>
      <c r="C52" s="30"/>
      <c r="D52" s="20"/>
      <c r="E52" s="1"/>
      <c r="F52" s="1"/>
      <c r="G52" s="1"/>
      <c r="H52" s="1"/>
      <c r="I52" s="1"/>
      <c r="J52" s="1"/>
      <c r="K52" s="1"/>
      <c r="L52" s="1"/>
      <c r="M52" s="1"/>
      <c r="N52" s="1"/>
      <c r="O52" s="1"/>
      <c r="P52" s="1"/>
      <c r="Y52" s="1"/>
      <c r="Z52" s="1"/>
      <c r="AA52" s="1"/>
      <c r="AB52" s="1"/>
      <c r="BA52" s="1"/>
      <c r="BB52" s="1"/>
      <c r="BC52" s="1"/>
      <c r="BD52" s="1"/>
      <c r="BE52" s="1"/>
      <c r="BF52" s="1"/>
      <c r="BG52" s="1"/>
      <c r="BH52" s="1"/>
      <c r="BI52" s="1"/>
      <c r="BJ52" s="1"/>
      <c r="BK52" s="1"/>
      <c r="BL52" s="1"/>
    </row>
    <row r="53" spans="1:64" x14ac:dyDescent="0.25">
      <c r="A53" s="1"/>
      <c r="B53" s="1"/>
      <c r="C53" s="30"/>
      <c r="D53" s="20"/>
      <c r="E53" s="1"/>
      <c r="F53" s="1"/>
      <c r="G53" s="1"/>
      <c r="H53" s="1"/>
      <c r="I53" s="1"/>
      <c r="J53" s="1"/>
      <c r="K53" s="1"/>
      <c r="L53" s="1"/>
      <c r="M53" s="1"/>
      <c r="N53" s="1"/>
      <c r="O53" s="1"/>
      <c r="P53" s="1"/>
      <c r="Y53" s="1"/>
      <c r="Z53" s="1"/>
      <c r="AA53" s="1"/>
      <c r="AB53" s="1"/>
      <c r="BA53" s="1"/>
      <c r="BB53" s="1"/>
      <c r="BC53" s="1"/>
      <c r="BD53" s="1"/>
      <c r="BE53" s="1"/>
      <c r="BF53" s="1"/>
      <c r="BG53" s="1"/>
      <c r="BH53" s="1"/>
      <c r="BI53" s="1"/>
      <c r="BJ53" s="1"/>
      <c r="BK53" s="1"/>
      <c r="BL53" s="1"/>
    </row>
    <row r="54" spans="1:64" x14ac:dyDescent="0.25">
      <c r="A54" s="1"/>
      <c r="B54" s="1"/>
      <c r="C54" s="30"/>
      <c r="D54" s="20"/>
      <c r="E54" s="1"/>
      <c r="F54" s="1"/>
      <c r="G54" s="1"/>
      <c r="H54" s="1"/>
      <c r="I54" s="1"/>
      <c r="J54" s="1"/>
      <c r="K54" s="1"/>
      <c r="L54" s="1"/>
      <c r="M54" s="1"/>
      <c r="N54" s="1"/>
      <c r="O54" s="1"/>
      <c r="P54" s="1"/>
      <c r="Y54" s="1"/>
      <c r="Z54" s="1"/>
      <c r="AA54" s="1"/>
      <c r="AB54" s="1"/>
      <c r="BA54" s="1"/>
      <c r="BB54" s="1"/>
      <c r="BC54" s="1"/>
      <c r="BD54" s="1"/>
      <c r="BE54" s="1"/>
      <c r="BF54" s="1"/>
      <c r="BG54" s="1"/>
      <c r="BH54" s="1"/>
      <c r="BI54" s="1"/>
      <c r="BJ54" s="1"/>
      <c r="BK54" s="1"/>
      <c r="BL54" s="1"/>
    </row>
    <row r="55" spans="1:64" x14ac:dyDescent="0.25">
      <c r="A55" s="1"/>
      <c r="B55" s="1"/>
      <c r="C55" s="30"/>
      <c r="D55" s="20"/>
      <c r="E55" s="1"/>
      <c r="F55" s="1"/>
      <c r="G55" s="1"/>
      <c r="H55" s="1"/>
      <c r="I55" s="1"/>
      <c r="J55" s="1"/>
      <c r="K55" s="1"/>
      <c r="L55" s="1"/>
      <c r="M55" s="1"/>
      <c r="N55" s="1"/>
      <c r="O55" s="1"/>
      <c r="P55" s="1"/>
      <c r="Y55" s="1"/>
      <c r="Z55" s="1"/>
      <c r="AA55" s="1"/>
      <c r="AB55" s="1"/>
      <c r="BA55" s="1"/>
      <c r="BB55" s="1"/>
      <c r="BC55" s="1"/>
      <c r="BD55" s="1"/>
      <c r="BE55" s="1"/>
      <c r="BF55" s="1"/>
      <c r="BG55" s="1"/>
      <c r="BH55" s="1"/>
      <c r="BI55" s="1"/>
      <c r="BJ55" s="1"/>
      <c r="BK55" s="1"/>
      <c r="BL55" s="1"/>
    </row>
    <row r="56" spans="1:64" x14ac:dyDescent="0.25">
      <c r="A56" s="1"/>
      <c r="B56" s="1"/>
      <c r="C56" s="30"/>
      <c r="D56" s="20"/>
      <c r="E56" s="1"/>
      <c r="F56" s="1"/>
      <c r="G56" s="1"/>
      <c r="H56" s="1"/>
      <c r="I56" s="1"/>
      <c r="J56" s="1"/>
      <c r="K56" s="1"/>
      <c r="L56" s="1"/>
      <c r="M56" s="1"/>
      <c r="N56" s="1"/>
      <c r="O56" s="1"/>
      <c r="P56" s="1"/>
      <c r="Y56" s="1"/>
      <c r="Z56" s="1"/>
      <c r="AA56" s="1"/>
      <c r="AB56" s="1"/>
      <c r="BA56" s="1"/>
      <c r="BB56" s="1"/>
      <c r="BC56" s="1"/>
      <c r="BD56" s="1"/>
      <c r="BE56" s="1"/>
      <c r="BF56" s="1"/>
      <c r="BG56" s="1"/>
      <c r="BH56" s="1"/>
      <c r="BI56" s="1"/>
      <c r="BJ56" s="1"/>
      <c r="BK56" s="1"/>
      <c r="BL56" s="1"/>
    </row>
    <row r="57" spans="1:64" x14ac:dyDescent="0.25">
      <c r="A57" s="1"/>
      <c r="B57" s="1"/>
      <c r="C57" s="30"/>
      <c r="D57" s="20"/>
      <c r="E57" s="1"/>
      <c r="F57" s="1"/>
      <c r="G57" s="1"/>
      <c r="H57" s="1"/>
      <c r="I57" s="1"/>
      <c r="J57" s="1"/>
      <c r="K57" s="1"/>
      <c r="L57" s="1"/>
      <c r="M57" s="1"/>
      <c r="N57" s="1"/>
      <c r="O57" s="1"/>
      <c r="P57" s="1"/>
      <c r="Y57" s="1"/>
      <c r="Z57" s="1"/>
      <c r="AA57" s="1"/>
      <c r="AB57" s="1"/>
      <c r="BA57" s="1"/>
      <c r="BB57" s="1"/>
      <c r="BC57" s="1"/>
      <c r="BD57" s="1"/>
      <c r="BE57" s="1"/>
      <c r="BF57" s="1"/>
      <c r="BG57" s="1"/>
      <c r="BH57" s="1"/>
      <c r="BI57" s="1"/>
      <c r="BJ57" s="1"/>
      <c r="BK57" s="1"/>
      <c r="BL57" s="1"/>
    </row>
    <row r="58" spans="1:64" x14ac:dyDescent="0.25">
      <c r="A58" s="1"/>
      <c r="B58" s="1"/>
      <c r="C58" s="30"/>
      <c r="D58" s="20"/>
      <c r="E58" s="1"/>
      <c r="F58" s="1"/>
      <c r="G58" s="1"/>
      <c r="H58" s="1"/>
      <c r="I58" s="1"/>
      <c r="J58" s="1"/>
      <c r="K58" s="1"/>
      <c r="L58" s="1"/>
      <c r="M58" s="1"/>
      <c r="N58" s="1"/>
      <c r="O58" s="1"/>
      <c r="P58" s="1"/>
      <c r="Y58" s="1"/>
      <c r="Z58" s="1"/>
      <c r="AA58" s="1"/>
      <c r="AB58" s="1"/>
      <c r="BA58" s="1"/>
      <c r="BB58" s="1"/>
      <c r="BC58" s="1"/>
      <c r="BD58" s="1"/>
      <c r="BE58" s="1"/>
      <c r="BF58" s="1"/>
      <c r="BG58" s="1"/>
      <c r="BH58" s="1"/>
      <c r="BI58" s="1"/>
      <c r="BJ58" s="1"/>
      <c r="BK58" s="1"/>
      <c r="BL58" s="1"/>
    </row>
    <row r="59" spans="1:64" x14ac:dyDescent="0.25">
      <c r="A59" s="1"/>
      <c r="B59" s="1"/>
      <c r="C59" s="30"/>
      <c r="D59" s="20"/>
      <c r="E59" s="1"/>
      <c r="F59" s="1"/>
      <c r="G59" s="1"/>
      <c r="H59" s="1"/>
      <c r="I59" s="1"/>
      <c r="J59" s="1"/>
      <c r="K59" s="1"/>
      <c r="L59" s="1"/>
      <c r="M59" s="1"/>
      <c r="N59" s="1"/>
      <c r="O59" s="1"/>
      <c r="P59" s="1"/>
      <c r="Y59" s="1"/>
      <c r="Z59" s="1"/>
      <c r="AA59" s="1"/>
      <c r="AB59" s="1"/>
      <c r="BA59" s="1"/>
      <c r="BB59" s="1"/>
      <c r="BC59" s="1"/>
      <c r="BD59" s="1"/>
      <c r="BE59" s="1"/>
      <c r="BF59" s="1"/>
      <c r="BG59" s="1"/>
      <c r="BH59" s="1"/>
      <c r="BI59" s="1"/>
      <c r="BJ59" s="1"/>
      <c r="BK59" s="1"/>
      <c r="BL59" s="1"/>
    </row>
    <row r="60" spans="1:64" x14ac:dyDescent="0.25">
      <c r="A60" s="1"/>
      <c r="B60" s="1"/>
      <c r="C60" s="30"/>
      <c r="D60" s="20"/>
      <c r="E60" s="1"/>
      <c r="F60" s="1"/>
      <c r="G60" s="1"/>
      <c r="H60" s="1"/>
      <c r="I60" s="1"/>
      <c r="J60" s="1"/>
      <c r="K60" s="1"/>
      <c r="L60" s="1"/>
      <c r="M60" s="1"/>
      <c r="N60" s="1"/>
      <c r="O60" s="1"/>
      <c r="P60" s="1"/>
      <c r="Y60" s="1"/>
      <c r="Z60" s="1"/>
      <c r="AA60" s="1"/>
      <c r="AB60" s="1"/>
      <c r="BA60" s="1"/>
      <c r="BB60" s="1"/>
      <c r="BC60" s="1"/>
      <c r="BD60" s="1"/>
      <c r="BE60" s="1"/>
      <c r="BF60" s="1"/>
      <c r="BG60" s="1"/>
      <c r="BH60" s="1"/>
      <c r="BI60" s="1"/>
      <c r="BJ60" s="1"/>
      <c r="BK60" s="1"/>
      <c r="BL60" s="1"/>
    </row>
    <row r="61" spans="1:64" x14ac:dyDescent="0.25">
      <c r="A61" s="1"/>
      <c r="B61" s="1"/>
      <c r="C61" s="30"/>
      <c r="D61" s="20"/>
      <c r="E61" s="1"/>
      <c r="F61" s="1"/>
      <c r="G61" s="1"/>
      <c r="H61" s="1"/>
      <c r="I61" s="1"/>
      <c r="J61" s="1"/>
      <c r="K61" s="1"/>
      <c r="L61" s="1"/>
      <c r="M61" s="1"/>
      <c r="N61" s="1"/>
      <c r="O61" s="1"/>
      <c r="P61" s="1"/>
      <c r="Y61" s="1"/>
      <c r="Z61" s="1"/>
      <c r="AA61" s="1"/>
      <c r="AB61" s="1"/>
      <c r="BA61" s="1"/>
      <c r="BB61" s="1"/>
      <c r="BC61" s="1"/>
      <c r="BD61" s="1"/>
      <c r="BE61" s="1"/>
      <c r="BF61" s="1"/>
      <c r="BG61" s="1"/>
      <c r="BH61" s="1"/>
      <c r="BI61" s="1"/>
      <c r="BJ61" s="1"/>
      <c r="BK61" s="1"/>
      <c r="BL61" s="1"/>
    </row>
    <row r="62" spans="1:64" x14ac:dyDescent="0.25">
      <c r="A62" s="1"/>
      <c r="B62" s="1"/>
      <c r="C62" s="30"/>
      <c r="D62" s="20"/>
      <c r="E62" s="1"/>
      <c r="F62" s="1"/>
      <c r="G62" s="1"/>
      <c r="H62" s="1"/>
      <c r="I62" s="1"/>
      <c r="J62" s="1"/>
      <c r="K62" s="1"/>
      <c r="L62" s="1"/>
      <c r="M62" s="1"/>
      <c r="N62" s="1"/>
      <c r="O62" s="1"/>
      <c r="P62" s="1"/>
      <c r="Y62" s="1"/>
      <c r="Z62" s="1"/>
      <c r="AA62" s="1"/>
      <c r="AB62" s="1"/>
      <c r="BA62" s="1"/>
      <c r="BB62" s="1"/>
      <c r="BC62" s="1"/>
      <c r="BD62" s="1"/>
      <c r="BE62" s="1"/>
      <c r="BF62" s="1"/>
      <c r="BG62" s="1"/>
      <c r="BH62" s="1"/>
      <c r="BI62" s="1"/>
      <c r="BJ62" s="1"/>
      <c r="BK62" s="1"/>
      <c r="BL62" s="1"/>
    </row>
    <row r="63" spans="1:64" x14ac:dyDescent="0.25">
      <c r="A63" s="1"/>
      <c r="B63" s="1"/>
      <c r="C63" s="30"/>
      <c r="D63" s="20"/>
      <c r="E63" s="1"/>
      <c r="F63" s="1"/>
      <c r="G63" s="1"/>
      <c r="H63" s="1"/>
      <c r="I63" s="1"/>
      <c r="J63" s="1"/>
      <c r="K63" s="1"/>
      <c r="L63" s="1"/>
      <c r="M63" s="1"/>
      <c r="N63" s="1"/>
      <c r="O63" s="1"/>
      <c r="P63" s="1"/>
      <c r="Y63" s="1"/>
      <c r="Z63" s="1"/>
      <c r="AA63" s="1"/>
      <c r="AB63" s="1"/>
      <c r="BA63" s="1"/>
      <c r="BB63" s="1"/>
      <c r="BC63" s="1"/>
      <c r="BD63" s="1"/>
      <c r="BE63" s="1"/>
      <c r="BF63" s="1"/>
      <c r="BG63" s="1"/>
      <c r="BH63" s="1"/>
      <c r="BI63" s="1"/>
      <c r="BJ63" s="1"/>
      <c r="BK63" s="1"/>
      <c r="BL63" s="1"/>
    </row>
    <row r="64" spans="1:64" x14ac:dyDescent="0.25">
      <c r="A64" s="1"/>
      <c r="B64" s="1"/>
      <c r="C64" s="30"/>
      <c r="D64" s="20"/>
      <c r="E64" s="1"/>
      <c r="F64" s="1"/>
      <c r="G64" s="1"/>
      <c r="H64" s="1"/>
      <c r="I64" s="1"/>
      <c r="J64" s="1"/>
      <c r="K64" s="1"/>
      <c r="L64" s="1"/>
      <c r="M64" s="1"/>
      <c r="N64" s="1"/>
      <c r="O64" s="1"/>
      <c r="P64" s="1"/>
      <c r="Y64" s="1"/>
      <c r="Z64" s="1"/>
      <c r="AA64" s="1"/>
      <c r="AB64" s="1"/>
      <c r="BA64" s="1"/>
      <c r="BB64" s="1"/>
      <c r="BC64" s="1"/>
      <c r="BD64" s="1"/>
      <c r="BE64" s="1"/>
      <c r="BF64" s="1"/>
      <c r="BG64" s="1"/>
      <c r="BH64" s="1"/>
      <c r="BI64" s="1"/>
      <c r="BJ64" s="1"/>
      <c r="BK64" s="1"/>
      <c r="BL64" s="1"/>
    </row>
    <row r="65" spans="1:64" x14ac:dyDescent="0.25">
      <c r="A65" s="1"/>
      <c r="B65" s="1"/>
      <c r="C65" s="30"/>
      <c r="D65" s="20"/>
      <c r="E65" s="1"/>
      <c r="F65" s="1"/>
      <c r="G65" s="1"/>
      <c r="H65" s="1"/>
      <c r="I65" s="1"/>
      <c r="J65" s="1"/>
      <c r="K65" s="1"/>
      <c r="L65" s="1"/>
      <c r="M65" s="1"/>
      <c r="N65" s="1"/>
      <c r="O65" s="1"/>
      <c r="P65" s="1"/>
      <c r="Y65" s="1"/>
      <c r="Z65" s="1"/>
      <c r="AA65" s="1"/>
      <c r="AB65" s="1"/>
      <c r="BA65" s="1"/>
      <c r="BB65" s="1"/>
      <c r="BC65" s="1"/>
      <c r="BD65" s="1"/>
      <c r="BE65" s="1"/>
      <c r="BF65" s="1"/>
      <c r="BG65" s="1"/>
      <c r="BH65" s="1"/>
      <c r="BI65" s="1"/>
      <c r="BJ65" s="1"/>
      <c r="BK65" s="1"/>
      <c r="BL65" s="1"/>
    </row>
    <row r="66" spans="1:64" x14ac:dyDescent="0.25">
      <c r="A66" s="1"/>
      <c r="B66" s="1"/>
      <c r="C66" s="30"/>
      <c r="D66" s="20"/>
      <c r="E66" s="1"/>
      <c r="F66" s="1"/>
      <c r="G66" s="1"/>
      <c r="H66" s="1"/>
      <c r="I66" s="1"/>
      <c r="J66" s="1"/>
      <c r="K66" s="1"/>
      <c r="L66" s="1"/>
      <c r="M66" s="1"/>
      <c r="N66" s="1"/>
      <c r="O66" s="1"/>
      <c r="P66" s="1"/>
      <c r="Y66" s="1"/>
      <c r="Z66" s="1"/>
      <c r="AA66" s="1"/>
      <c r="AB66" s="1"/>
      <c r="BA66" s="1"/>
      <c r="BB66" s="1"/>
      <c r="BC66" s="1"/>
      <c r="BD66" s="1"/>
      <c r="BE66" s="1"/>
      <c r="BF66" s="1"/>
      <c r="BG66" s="1"/>
      <c r="BH66" s="1"/>
      <c r="BI66" s="1"/>
      <c r="BJ66" s="1"/>
      <c r="BK66" s="1"/>
      <c r="BL66" s="1"/>
    </row>
    <row r="67" spans="1:64" x14ac:dyDescent="0.25">
      <c r="A67" s="1"/>
      <c r="B67" s="1"/>
      <c r="C67" s="30"/>
      <c r="D67" s="20"/>
      <c r="E67" s="1"/>
      <c r="F67" s="1"/>
      <c r="G67" s="1"/>
      <c r="H67" s="1"/>
      <c r="I67" s="1"/>
      <c r="J67" s="1"/>
      <c r="K67" s="1"/>
      <c r="L67" s="1"/>
      <c r="M67" s="1"/>
      <c r="N67" s="1"/>
      <c r="O67" s="1"/>
      <c r="P67" s="1"/>
      <c r="Y67" s="1"/>
      <c r="Z67" s="1"/>
      <c r="AA67" s="1"/>
      <c r="AB67" s="1"/>
      <c r="BA67" s="1"/>
      <c r="BB67" s="1"/>
      <c r="BC67" s="1"/>
      <c r="BD67" s="1"/>
      <c r="BE67" s="1"/>
      <c r="BF67" s="1"/>
      <c r="BG67" s="1"/>
      <c r="BH67" s="1"/>
      <c r="BI67" s="1"/>
      <c r="BJ67" s="1"/>
      <c r="BK67" s="1"/>
      <c r="BL67" s="1"/>
    </row>
    <row r="68" spans="1:64" x14ac:dyDescent="0.25">
      <c r="A68" s="1"/>
      <c r="B68" s="1"/>
      <c r="C68" s="30"/>
      <c r="D68" s="20"/>
      <c r="E68" s="1"/>
      <c r="F68" s="1"/>
      <c r="G68" s="1"/>
      <c r="H68" s="1"/>
      <c r="I68" s="1"/>
      <c r="J68" s="1"/>
      <c r="K68" s="1"/>
      <c r="L68" s="1"/>
      <c r="M68" s="1"/>
      <c r="N68" s="1"/>
      <c r="O68" s="1"/>
      <c r="P68" s="1"/>
      <c r="Y68" s="1"/>
      <c r="Z68" s="1"/>
      <c r="AA68" s="1"/>
      <c r="AB68" s="1"/>
      <c r="BA68" s="1"/>
      <c r="BB68" s="1"/>
      <c r="BC68" s="1"/>
      <c r="BD68" s="1"/>
      <c r="BE68" s="1"/>
      <c r="BF68" s="1"/>
      <c r="BG68" s="1"/>
      <c r="BH68" s="1"/>
      <c r="BI68" s="1"/>
      <c r="BJ68" s="1"/>
      <c r="BK68" s="1"/>
      <c r="BL68" s="1"/>
    </row>
    <row r="69" spans="1:64" x14ac:dyDescent="0.25">
      <c r="A69" s="1"/>
      <c r="B69" s="1"/>
      <c r="C69" s="30"/>
      <c r="D69" s="20"/>
      <c r="E69" s="1"/>
      <c r="F69" s="1"/>
      <c r="G69" s="1"/>
      <c r="H69" s="1"/>
      <c r="I69" s="1"/>
      <c r="J69" s="1"/>
      <c r="K69" s="1"/>
      <c r="L69" s="1"/>
      <c r="M69" s="1"/>
      <c r="N69" s="1"/>
      <c r="O69" s="1"/>
      <c r="P69" s="1"/>
      <c r="Y69" s="1"/>
      <c r="Z69" s="1"/>
      <c r="AA69" s="1"/>
      <c r="AB69" s="1"/>
      <c r="BA69" s="1"/>
      <c r="BB69" s="1"/>
      <c r="BC69" s="1"/>
      <c r="BD69" s="1"/>
      <c r="BE69" s="1"/>
      <c r="BF69" s="1"/>
      <c r="BG69" s="1"/>
      <c r="BH69" s="1"/>
      <c r="BI69" s="1"/>
      <c r="BJ69" s="1"/>
      <c r="BK69" s="1"/>
      <c r="BL69" s="1"/>
    </row>
    <row r="70" spans="1:64" x14ac:dyDescent="0.25">
      <c r="A70" s="1"/>
      <c r="B70" s="1"/>
      <c r="C70" s="30"/>
      <c r="D70" s="20"/>
      <c r="E70" s="1"/>
      <c r="F70" s="1"/>
      <c r="G70" s="1"/>
      <c r="H70" s="1"/>
      <c r="I70" s="1"/>
      <c r="J70" s="1"/>
      <c r="K70" s="1"/>
      <c r="L70" s="1"/>
      <c r="M70" s="1"/>
      <c r="N70" s="1"/>
      <c r="O70" s="1"/>
      <c r="P70" s="1"/>
      <c r="Y70" s="1"/>
      <c r="Z70" s="1"/>
      <c r="AA70" s="1"/>
      <c r="AB70" s="1"/>
      <c r="BA70" s="1"/>
      <c r="BB70" s="1"/>
      <c r="BC70" s="1"/>
      <c r="BD70" s="1"/>
      <c r="BE70" s="1"/>
      <c r="BF70" s="1"/>
      <c r="BG70" s="1"/>
      <c r="BH70" s="1"/>
      <c r="BI70" s="1"/>
      <c r="BJ70" s="1"/>
      <c r="BK70" s="1"/>
      <c r="BL70" s="1"/>
    </row>
    <row r="71" spans="1:64" x14ac:dyDescent="0.25">
      <c r="A71" s="1"/>
      <c r="B71" s="1"/>
      <c r="C71" s="30"/>
      <c r="D71" s="20"/>
      <c r="E71" s="1"/>
      <c r="F71" s="1"/>
      <c r="G71" s="1"/>
      <c r="H71" s="1"/>
      <c r="I71" s="1"/>
      <c r="J71" s="1"/>
      <c r="K71" s="1"/>
      <c r="L71" s="1"/>
      <c r="M71" s="1"/>
      <c r="N71" s="1"/>
      <c r="O71" s="1"/>
      <c r="P71" s="1"/>
      <c r="Y71" s="1"/>
      <c r="Z71" s="1"/>
      <c r="AA71" s="1"/>
      <c r="AB71" s="1"/>
      <c r="BA71" s="1"/>
      <c r="BB71" s="1"/>
      <c r="BC71" s="1"/>
      <c r="BD71" s="1"/>
      <c r="BE71" s="1"/>
      <c r="BF71" s="1"/>
      <c r="BG71" s="1"/>
      <c r="BH71" s="1"/>
      <c r="BI71" s="1"/>
      <c r="BJ71" s="1"/>
      <c r="BK71" s="1"/>
      <c r="BL71" s="1"/>
    </row>
    <row r="72" spans="1:64" x14ac:dyDescent="0.25">
      <c r="A72" s="1"/>
      <c r="B72" s="1"/>
      <c r="C72" s="30"/>
      <c r="D72" s="20"/>
      <c r="E72" s="1"/>
      <c r="F72" s="1"/>
      <c r="G72" s="1"/>
      <c r="H72" s="1"/>
      <c r="I72" s="1"/>
      <c r="J72" s="1"/>
      <c r="K72" s="1"/>
      <c r="L72" s="1"/>
      <c r="M72" s="1"/>
      <c r="N72" s="1"/>
      <c r="O72" s="1"/>
      <c r="P72" s="1"/>
      <c r="Y72" s="1"/>
      <c r="Z72" s="1"/>
      <c r="AA72" s="1"/>
      <c r="AB72" s="1"/>
      <c r="BA72" s="1"/>
      <c r="BB72" s="1"/>
      <c r="BC72" s="1"/>
      <c r="BD72" s="1"/>
      <c r="BE72" s="1"/>
      <c r="BF72" s="1"/>
      <c r="BG72" s="1"/>
      <c r="BH72" s="1"/>
      <c r="BI72" s="1"/>
      <c r="BJ72" s="1"/>
      <c r="BK72" s="1"/>
      <c r="BL72" s="1"/>
    </row>
    <row r="73" spans="1:64" x14ac:dyDescent="0.25">
      <c r="A73" s="1"/>
      <c r="B73" s="1"/>
      <c r="C73" s="30"/>
      <c r="D73" s="20"/>
      <c r="E73" s="1"/>
      <c r="F73" s="1"/>
      <c r="G73" s="1"/>
      <c r="H73" s="1"/>
      <c r="I73" s="1"/>
      <c r="J73" s="1"/>
      <c r="K73" s="1"/>
      <c r="L73" s="1"/>
      <c r="M73" s="1"/>
      <c r="N73" s="1"/>
      <c r="O73" s="1"/>
      <c r="P73" s="1"/>
      <c r="Y73" s="1"/>
      <c r="Z73" s="1"/>
      <c r="AA73" s="1"/>
      <c r="AB73" s="1"/>
      <c r="BA73" s="1"/>
      <c r="BB73" s="1"/>
      <c r="BC73" s="1"/>
      <c r="BD73" s="1"/>
      <c r="BE73" s="1"/>
      <c r="BF73" s="1"/>
      <c r="BG73" s="1"/>
      <c r="BH73" s="1"/>
      <c r="BI73" s="1"/>
      <c r="BJ73" s="1"/>
      <c r="BK73" s="1"/>
      <c r="BL73" s="1"/>
    </row>
    <row r="74" spans="1:64" x14ac:dyDescent="0.25">
      <c r="A74" s="1"/>
      <c r="B74" s="1"/>
      <c r="C74" s="30"/>
      <c r="D74" s="20"/>
      <c r="E74" s="1"/>
      <c r="F74" s="1"/>
      <c r="G74" s="1"/>
      <c r="H74" s="1"/>
      <c r="I74" s="1"/>
      <c r="J74" s="1"/>
      <c r="K74" s="1"/>
      <c r="L74" s="1"/>
      <c r="M74" s="1"/>
      <c r="N74" s="1"/>
      <c r="O74" s="1"/>
      <c r="P74" s="1"/>
      <c r="Y74" s="1"/>
      <c r="Z74" s="1"/>
      <c r="AA74" s="1"/>
      <c r="AB74" s="1"/>
      <c r="BA74" s="1"/>
      <c r="BB74" s="1"/>
      <c r="BC74" s="1"/>
      <c r="BD74" s="1"/>
      <c r="BE74" s="1"/>
      <c r="BF74" s="1"/>
      <c r="BG74" s="1"/>
      <c r="BH74" s="1"/>
      <c r="BI74" s="1"/>
      <c r="BJ74" s="1"/>
      <c r="BK74" s="1"/>
      <c r="BL74" s="1"/>
    </row>
    <row r="75" spans="1:64" x14ac:dyDescent="0.25">
      <c r="A75" s="1"/>
      <c r="B75" s="1"/>
      <c r="C75" s="30"/>
      <c r="D75" s="20"/>
      <c r="E75" s="1"/>
      <c r="F75" s="1"/>
      <c r="G75" s="1"/>
      <c r="H75" s="1"/>
      <c r="I75" s="1"/>
      <c r="J75" s="1"/>
      <c r="K75" s="1"/>
      <c r="L75" s="1"/>
      <c r="M75" s="1"/>
      <c r="N75" s="1"/>
      <c r="O75" s="1"/>
      <c r="P75" s="1"/>
      <c r="Y75" s="1"/>
      <c r="Z75" s="1"/>
      <c r="AA75" s="1"/>
      <c r="AB75" s="1"/>
      <c r="BA75" s="1"/>
      <c r="BB75" s="1"/>
      <c r="BC75" s="1"/>
      <c r="BD75" s="1"/>
      <c r="BE75" s="1"/>
      <c r="BF75" s="1"/>
      <c r="BG75" s="1"/>
      <c r="BH75" s="1"/>
      <c r="BI75" s="1"/>
      <c r="BJ75" s="1"/>
      <c r="BK75" s="1"/>
      <c r="BL75" s="1"/>
    </row>
    <row r="76" spans="1:64" x14ac:dyDescent="0.25">
      <c r="A76" s="1"/>
      <c r="B76" s="1"/>
      <c r="C76" s="30"/>
      <c r="D76" s="20"/>
      <c r="E76" s="1"/>
      <c r="F76" s="1"/>
      <c r="G76" s="1"/>
      <c r="H76" s="1"/>
      <c r="I76" s="1"/>
      <c r="J76" s="1"/>
      <c r="K76" s="1"/>
      <c r="L76" s="1"/>
      <c r="M76" s="1"/>
      <c r="N76" s="1"/>
      <c r="O76" s="1"/>
      <c r="P76" s="1"/>
      <c r="Y76" s="1"/>
      <c r="Z76" s="1"/>
      <c r="AA76" s="1"/>
      <c r="AB76" s="1"/>
      <c r="BA76" s="1"/>
      <c r="BB76" s="1"/>
      <c r="BC76" s="1"/>
      <c r="BD76" s="1"/>
      <c r="BE76" s="1"/>
      <c r="BF76" s="1"/>
      <c r="BG76" s="1"/>
      <c r="BH76" s="1"/>
      <c r="BI76" s="1"/>
      <c r="BJ76" s="1"/>
      <c r="BK76" s="1"/>
      <c r="BL76" s="1"/>
    </row>
    <row r="77" spans="1:64" x14ac:dyDescent="0.25">
      <c r="A77" s="1"/>
      <c r="B77" s="1"/>
      <c r="C77" s="30"/>
      <c r="D77" s="20"/>
      <c r="E77" s="1"/>
      <c r="F77" s="1"/>
      <c r="G77" s="1"/>
      <c r="H77" s="1"/>
      <c r="I77" s="1"/>
      <c r="J77" s="1"/>
      <c r="K77" s="1"/>
      <c r="L77" s="1"/>
      <c r="M77" s="1"/>
      <c r="N77" s="1"/>
      <c r="O77" s="1"/>
      <c r="P77" s="1"/>
      <c r="Y77" s="1"/>
      <c r="Z77" s="1"/>
      <c r="AA77" s="1"/>
      <c r="AB77" s="1"/>
      <c r="BA77" s="1"/>
      <c r="BB77" s="1"/>
      <c r="BC77" s="1"/>
      <c r="BD77" s="1"/>
      <c r="BE77" s="1"/>
      <c r="BF77" s="1"/>
      <c r="BG77" s="1"/>
      <c r="BH77" s="1"/>
      <c r="BI77" s="1"/>
      <c r="BJ77" s="1"/>
      <c r="BK77" s="1"/>
      <c r="BL77" s="1"/>
    </row>
    <row r="78" spans="1:64" x14ac:dyDescent="0.25">
      <c r="A78" s="1"/>
      <c r="B78" s="1"/>
      <c r="C78" s="30"/>
      <c r="D78" s="20"/>
      <c r="E78" s="1"/>
      <c r="F78" s="1"/>
      <c r="G78" s="1"/>
      <c r="H78" s="1"/>
      <c r="I78" s="1"/>
      <c r="J78" s="1"/>
      <c r="K78" s="1"/>
      <c r="L78" s="1"/>
      <c r="M78" s="1"/>
      <c r="N78" s="1"/>
      <c r="O78" s="1"/>
      <c r="P78" s="1"/>
      <c r="Y78" s="1"/>
      <c r="Z78" s="1"/>
      <c r="AA78" s="1"/>
      <c r="AB78" s="1"/>
      <c r="BA78" s="1"/>
      <c r="BB78" s="1"/>
      <c r="BC78" s="1"/>
      <c r="BD78" s="1"/>
      <c r="BE78" s="1"/>
      <c r="BF78" s="1"/>
      <c r="BG78" s="1"/>
      <c r="BH78" s="1"/>
      <c r="BI78" s="1"/>
      <c r="BJ78" s="1"/>
      <c r="BK78" s="1"/>
      <c r="BL78" s="1"/>
    </row>
    <row r="79" spans="1:64" x14ac:dyDescent="0.25">
      <c r="A79" s="1"/>
      <c r="B79" s="1"/>
      <c r="C79" s="30"/>
      <c r="D79" s="20"/>
      <c r="E79" s="1"/>
      <c r="F79" s="1"/>
      <c r="G79" s="1"/>
      <c r="H79" s="1"/>
      <c r="I79" s="1"/>
      <c r="J79" s="1"/>
      <c r="K79" s="1"/>
      <c r="L79" s="1"/>
      <c r="M79" s="1"/>
      <c r="N79" s="1"/>
      <c r="O79" s="1"/>
      <c r="P79" s="1"/>
      <c r="Y79" s="1"/>
      <c r="Z79" s="1"/>
      <c r="AA79" s="1"/>
      <c r="AB79" s="1"/>
      <c r="BA79" s="1"/>
      <c r="BB79" s="1"/>
      <c r="BC79" s="1"/>
      <c r="BD79" s="1"/>
      <c r="BE79" s="1"/>
      <c r="BF79" s="1"/>
      <c r="BG79" s="1"/>
      <c r="BH79" s="1"/>
      <c r="BI79" s="1"/>
      <c r="BJ79" s="1"/>
      <c r="BK79" s="1"/>
      <c r="BL79" s="1"/>
    </row>
    <row r="80" spans="1:64" x14ac:dyDescent="0.25">
      <c r="A80" s="1"/>
      <c r="B80" s="1"/>
      <c r="C80" s="30"/>
      <c r="D80" s="20"/>
      <c r="E80" s="1"/>
      <c r="F80" s="1"/>
      <c r="G80" s="1"/>
      <c r="H80" s="1"/>
      <c r="I80" s="1"/>
      <c r="J80" s="1"/>
      <c r="K80" s="1"/>
      <c r="L80" s="1"/>
      <c r="M80" s="1"/>
      <c r="N80" s="1"/>
      <c r="O80" s="1"/>
      <c r="P80" s="1"/>
      <c r="Y80" s="1"/>
      <c r="Z80" s="1"/>
      <c r="AA80" s="1"/>
      <c r="AB80" s="1"/>
      <c r="BA80" s="1"/>
      <c r="BB80" s="1"/>
      <c r="BC80" s="1"/>
      <c r="BD80" s="1"/>
      <c r="BE80" s="1"/>
      <c r="BF80" s="1"/>
      <c r="BG80" s="1"/>
      <c r="BH80" s="1"/>
      <c r="BI80" s="1"/>
      <c r="BJ80" s="1"/>
      <c r="BK80" s="1"/>
      <c r="BL80" s="1"/>
    </row>
    <row r="81" spans="1:64" x14ac:dyDescent="0.25">
      <c r="A81" s="1"/>
      <c r="B81" s="1"/>
      <c r="C81" s="30"/>
      <c r="D81" s="20"/>
      <c r="E81" s="1"/>
      <c r="F81" s="1"/>
      <c r="G81" s="1"/>
      <c r="H81" s="1"/>
      <c r="I81" s="1"/>
      <c r="J81" s="1"/>
      <c r="K81" s="1"/>
      <c r="L81" s="1"/>
      <c r="M81" s="1"/>
      <c r="N81" s="1"/>
      <c r="O81" s="1"/>
      <c r="P81" s="1"/>
      <c r="Y81" s="1"/>
      <c r="Z81" s="1"/>
      <c r="AA81" s="1"/>
      <c r="AB81" s="1"/>
      <c r="BA81" s="1"/>
      <c r="BB81" s="1"/>
      <c r="BC81" s="1"/>
      <c r="BD81" s="1"/>
      <c r="BE81" s="1"/>
      <c r="BF81" s="1"/>
      <c r="BG81" s="1"/>
      <c r="BH81" s="1"/>
      <c r="BI81" s="1"/>
      <c r="BJ81" s="1"/>
      <c r="BK81" s="1"/>
      <c r="BL81" s="1"/>
    </row>
    <row r="82" spans="1:64" x14ac:dyDescent="0.25">
      <c r="A82" s="1"/>
      <c r="B82" s="1"/>
      <c r="C82" s="30"/>
      <c r="D82" s="20"/>
      <c r="E82" s="1"/>
      <c r="F82" s="1"/>
      <c r="G82" s="1"/>
      <c r="H82" s="1"/>
      <c r="I82" s="1"/>
      <c r="J82" s="1"/>
      <c r="K82" s="1"/>
      <c r="L82" s="1"/>
      <c r="M82" s="1"/>
      <c r="N82" s="1"/>
      <c r="O82" s="1"/>
      <c r="P82" s="1"/>
      <c r="Y82" s="1"/>
      <c r="Z82" s="1"/>
      <c r="AA82" s="1"/>
      <c r="AB82" s="1"/>
      <c r="BA82" s="1"/>
      <c r="BB82" s="1"/>
      <c r="BC82" s="1"/>
      <c r="BD82" s="1"/>
      <c r="BE82" s="1"/>
      <c r="BF82" s="1"/>
      <c r="BG82" s="1"/>
      <c r="BH82" s="1"/>
      <c r="BI82" s="1"/>
      <c r="BJ82" s="1"/>
      <c r="BK82" s="1"/>
      <c r="BL82" s="1"/>
    </row>
    <row r="83" spans="1:64" x14ac:dyDescent="0.25">
      <c r="A83" s="1"/>
      <c r="B83" s="1"/>
      <c r="C83" s="30"/>
      <c r="D83" s="20"/>
      <c r="E83" s="1"/>
      <c r="F83" s="1"/>
      <c r="G83" s="1"/>
      <c r="H83" s="1"/>
      <c r="I83" s="1"/>
      <c r="J83" s="1"/>
      <c r="K83" s="1"/>
      <c r="L83" s="1"/>
      <c r="M83" s="1"/>
      <c r="N83" s="1"/>
      <c r="O83" s="1"/>
      <c r="P83" s="1"/>
      <c r="Y83" s="1"/>
      <c r="Z83" s="1"/>
      <c r="AA83" s="1"/>
      <c r="AB83" s="1"/>
      <c r="BA83" s="1"/>
      <c r="BB83" s="1"/>
      <c r="BC83" s="1"/>
      <c r="BD83" s="1"/>
      <c r="BE83" s="1"/>
      <c r="BF83" s="1"/>
      <c r="BG83" s="1"/>
      <c r="BH83" s="1"/>
      <c r="BI83" s="1"/>
      <c r="BJ83" s="1"/>
      <c r="BK83" s="1"/>
      <c r="BL83" s="1"/>
    </row>
    <row r="84" spans="1:64" x14ac:dyDescent="0.25">
      <c r="A84" s="1"/>
      <c r="B84" s="1"/>
      <c r="C84" s="30"/>
      <c r="D84" s="20"/>
      <c r="E84" s="1"/>
      <c r="F84" s="1"/>
      <c r="G84" s="1"/>
      <c r="H84" s="1"/>
      <c r="I84" s="1"/>
      <c r="J84" s="1"/>
      <c r="K84" s="1"/>
      <c r="L84" s="1"/>
      <c r="M84" s="1"/>
      <c r="N84" s="1"/>
      <c r="O84" s="1"/>
      <c r="P84" s="1"/>
      <c r="Y84" s="1"/>
      <c r="Z84" s="1"/>
      <c r="AA84" s="1"/>
      <c r="AB84" s="1"/>
      <c r="BA84" s="1"/>
      <c r="BB84" s="1"/>
      <c r="BC84" s="1"/>
      <c r="BD84" s="1"/>
      <c r="BE84" s="1"/>
      <c r="BF84" s="1"/>
      <c r="BG84" s="1"/>
      <c r="BH84" s="1"/>
      <c r="BI84" s="1"/>
      <c r="BJ84" s="1"/>
      <c r="BK84" s="1"/>
      <c r="BL84" s="1"/>
    </row>
    <row r="85" spans="1:64" x14ac:dyDescent="0.25">
      <c r="A85" s="1"/>
      <c r="B85" s="1"/>
      <c r="C85" s="30"/>
      <c r="D85" s="20"/>
      <c r="E85" s="1"/>
      <c r="F85" s="1"/>
      <c r="G85" s="1"/>
      <c r="H85" s="1"/>
      <c r="I85" s="1"/>
      <c r="J85" s="1"/>
      <c r="K85" s="1"/>
      <c r="L85" s="1"/>
      <c r="M85" s="1"/>
      <c r="N85" s="1"/>
      <c r="O85" s="1"/>
      <c r="P85" s="1"/>
      <c r="Y85" s="1"/>
      <c r="Z85" s="1"/>
      <c r="AA85" s="1"/>
      <c r="AB85" s="1"/>
      <c r="BA85" s="1"/>
      <c r="BB85" s="1"/>
      <c r="BC85" s="1"/>
      <c r="BD85" s="1"/>
      <c r="BE85" s="1"/>
      <c r="BF85" s="1"/>
      <c r="BG85" s="1"/>
      <c r="BH85" s="1"/>
      <c r="BI85" s="1"/>
      <c r="BJ85" s="1"/>
      <c r="BK85" s="1"/>
      <c r="BL85" s="1"/>
    </row>
    <row r="86" spans="1:64" x14ac:dyDescent="0.25">
      <c r="A86" s="1"/>
      <c r="B86" s="1"/>
      <c r="C86" s="30"/>
      <c r="D86" s="20"/>
      <c r="E86" s="1"/>
      <c r="F86" s="1"/>
      <c r="G86" s="1"/>
      <c r="H86" s="1"/>
      <c r="I86" s="1"/>
      <c r="J86" s="1"/>
      <c r="K86" s="1"/>
      <c r="L86" s="1"/>
      <c r="M86" s="1"/>
      <c r="N86" s="1"/>
      <c r="O86" s="1"/>
      <c r="P86" s="1"/>
      <c r="Y86" s="1"/>
      <c r="Z86" s="1"/>
      <c r="AA86" s="1"/>
      <c r="AB86" s="1"/>
      <c r="BA86" s="1"/>
      <c r="BB86" s="1"/>
      <c r="BC86" s="1"/>
      <c r="BD86" s="1"/>
      <c r="BE86" s="1"/>
      <c r="BF86" s="1"/>
      <c r="BG86" s="1"/>
      <c r="BH86" s="1"/>
      <c r="BI86" s="1"/>
      <c r="BJ86" s="1"/>
      <c r="BK86" s="1"/>
      <c r="BL86" s="1"/>
    </row>
    <row r="87" spans="1:64" x14ac:dyDescent="0.25">
      <c r="A87" s="1"/>
      <c r="B87" s="1"/>
      <c r="C87" s="30"/>
      <c r="D87" s="20"/>
      <c r="E87" s="1"/>
      <c r="F87" s="1"/>
      <c r="G87" s="1"/>
      <c r="H87" s="1"/>
      <c r="I87" s="1"/>
      <c r="J87" s="1"/>
      <c r="K87" s="1"/>
      <c r="L87" s="1"/>
      <c r="M87" s="1"/>
      <c r="N87" s="1"/>
      <c r="O87" s="1"/>
      <c r="P87" s="1"/>
      <c r="Y87" s="1"/>
      <c r="Z87" s="1"/>
      <c r="AA87" s="1"/>
      <c r="AB87" s="1"/>
      <c r="BA87" s="1"/>
      <c r="BB87" s="1"/>
      <c r="BC87" s="1"/>
      <c r="BD87" s="1"/>
      <c r="BE87" s="1"/>
      <c r="BF87" s="1"/>
      <c r="BG87" s="1"/>
      <c r="BH87" s="1"/>
      <c r="BI87" s="1"/>
      <c r="BJ87" s="1"/>
      <c r="BK87" s="1"/>
      <c r="BL87" s="1"/>
    </row>
    <row r="88" spans="1:64" x14ac:dyDescent="0.25">
      <c r="A88" s="1"/>
      <c r="B88" s="1"/>
      <c r="C88" s="30"/>
      <c r="D88" s="20"/>
      <c r="E88" s="1"/>
      <c r="F88" s="1"/>
      <c r="G88" s="1"/>
      <c r="H88" s="1"/>
      <c r="I88" s="1"/>
      <c r="J88" s="1"/>
      <c r="K88" s="1"/>
      <c r="L88" s="1"/>
      <c r="M88" s="1"/>
      <c r="N88" s="1"/>
      <c r="O88" s="1"/>
      <c r="P88" s="1"/>
      <c r="Y88" s="1"/>
      <c r="Z88" s="1"/>
      <c r="AA88" s="1"/>
      <c r="AB88" s="1"/>
      <c r="BA88" s="1"/>
      <c r="BB88" s="1"/>
      <c r="BC88" s="1"/>
      <c r="BD88" s="1"/>
      <c r="BE88" s="1"/>
      <c r="BF88" s="1"/>
      <c r="BG88" s="1"/>
      <c r="BH88" s="1"/>
      <c r="BI88" s="1"/>
      <c r="BJ88" s="1"/>
      <c r="BK88" s="1"/>
      <c r="BL88" s="1"/>
    </row>
    <row r="89" spans="1:64" x14ac:dyDescent="0.25">
      <c r="A89" s="1"/>
      <c r="B89" s="1"/>
      <c r="C89" s="30"/>
      <c r="D89" s="20"/>
      <c r="E89" s="1"/>
      <c r="F89" s="1"/>
      <c r="G89" s="1"/>
      <c r="H89" s="1"/>
      <c r="I89" s="1"/>
      <c r="J89" s="1"/>
      <c r="K89" s="1"/>
      <c r="L89" s="1"/>
      <c r="M89" s="1"/>
      <c r="N89" s="1"/>
      <c r="O89" s="1"/>
      <c r="P89" s="1"/>
      <c r="Y89" s="1"/>
      <c r="Z89" s="1"/>
      <c r="AA89" s="1"/>
      <c r="AB89" s="1"/>
      <c r="BA89" s="1"/>
      <c r="BB89" s="1"/>
      <c r="BC89" s="1"/>
      <c r="BD89" s="1"/>
      <c r="BE89" s="1"/>
      <c r="BF89" s="1"/>
      <c r="BG89" s="1"/>
      <c r="BH89" s="1"/>
      <c r="BI89" s="1"/>
      <c r="BJ89" s="1"/>
      <c r="BK89" s="1"/>
      <c r="BL89" s="1"/>
    </row>
    <row r="90" spans="1:64" x14ac:dyDescent="0.25">
      <c r="A90" s="1"/>
      <c r="B90" s="1"/>
      <c r="C90" s="30"/>
      <c r="D90" s="20"/>
      <c r="E90" s="1"/>
      <c r="F90" s="1"/>
      <c r="G90" s="1"/>
      <c r="H90" s="1"/>
      <c r="I90" s="1"/>
      <c r="J90" s="1"/>
      <c r="K90" s="1"/>
      <c r="L90" s="1"/>
      <c r="M90" s="1"/>
      <c r="N90" s="1"/>
      <c r="O90" s="1"/>
      <c r="P90" s="1"/>
      <c r="Y90" s="1"/>
      <c r="Z90" s="1"/>
      <c r="AA90" s="1"/>
      <c r="AB90" s="1"/>
      <c r="BA90" s="1"/>
      <c r="BB90" s="1"/>
      <c r="BC90" s="1"/>
      <c r="BD90" s="1"/>
      <c r="BE90" s="1"/>
      <c r="BF90" s="1"/>
      <c r="BG90" s="1"/>
      <c r="BH90" s="1"/>
      <c r="BI90" s="1"/>
      <c r="BJ90" s="1"/>
      <c r="BK90" s="1"/>
      <c r="BL90" s="1"/>
    </row>
    <row r="91" spans="1:64" x14ac:dyDescent="0.25">
      <c r="A91" s="1"/>
      <c r="B91" s="1"/>
      <c r="C91" s="30"/>
      <c r="D91" s="20"/>
      <c r="E91" s="1"/>
      <c r="F91" s="1"/>
      <c r="G91" s="1"/>
      <c r="H91" s="1"/>
      <c r="I91" s="1"/>
      <c r="J91" s="1"/>
      <c r="K91" s="1"/>
      <c r="L91" s="1"/>
      <c r="M91" s="1"/>
      <c r="N91" s="1"/>
      <c r="O91" s="1"/>
      <c r="P91" s="1"/>
      <c r="Y91" s="1"/>
      <c r="Z91" s="1"/>
      <c r="AA91" s="1"/>
      <c r="AB91" s="1"/>
      <c r="BA91" s="1"/>
      <c r="BB91" s="1"/>
      <c r="BC91" s="1"/>
      <c r="BD91" s="1"/>
      <c r="BE91" s="1"/>
      <c r="BF91" s="1"/>
      <c r="BG91" s="1"/>
      <c r="BH91" s="1"/>
      <c r="BI91" s="1"/>
      <c r="BJ91" s="1"/>
      <c r="BK91" s="1"/>
      <c r="BL91" s="1"/>
    </row>
    <row r="92" spans="1:64" x14ac:dyDescent="0.25">
      <c r="A92" s="1"/>
      <c r="B92" s="1"/>
      <c r="C92" s="30"/>
      <c r="D92" s="20"/>
      <c r="E92" s="1"/>
      <c r="F92" s="1"/>
      <c r="G92" s="1"/>
      <c r="H92" s="1"/>
      <c r="I92" s="1"/>
      <c r="J92" s="1"/>
      <c r="K92" s="1"/>
      <c r="L92" s="1"/>
      <c r="M92" s="1"/>
      <c r="N92" s="1"/>
      <c r="O92" s="1"/>
      <c r="P92" s="1"/>
      <c r="Y92" s="1"/>
      <c r="Z92" s="1"/>
      <c r="AA92" s="1"/>
      <c r="AB92" s="1"/>
      <c r="BA92" s="1"/>
      <c r="BB92" s="1"/>
      <c r="BC92" s="1"/>
      <c r="BD92" s="1"/>
      <c r="BE92" s="1"/>
      <c r="BF92" s="1"/>
      <c r="BG92" s="1"/>
      <c r="BH92" s="1"/>
      <c r="BI92" s="1"/>
      <c r="BJ92" s="1"/>
      <c r="BK92" s="1"/>
      <c r="BL92" s="1"/>
    </row>
    <row r="93" spans="1:64" x14ac:dyDescent="0.25">
      <c r="A93" s="1"/>
      <c r="B93" s="1"/>
      <c r="C93" s="30"/>
      <c r="D93" s="20"/>
      <c r="E93" s="1"/>
      <c r="F93" s="1"/>
      <c r="G93" s="1"/>
      <c r="H93" s="1"/>
      <c r="I93" s="1"/>
      <c r="J93" s="1"/>
      <c r="K93" s="1"/>
      <c r="L93" s="1"/>
      <c r="M93" s="1"/>
      <c r="N93" s="1"/>
      <c r="O93" s="1"/>
      <c r="P93" s="1"/>
      <c r="Y93" s="1"/>
      <c r="Z93" s="1"/>
      <c r="AA93" s="1"/>
      <c r="AB93" s="1"/>
      <c r="BA93" s="1"/>
      <c r="BB93" s="1"/>
      <c r="BC93" s="1"/>
      <c r="BD93" s="1"/>
      <c r="BE93" s="1"/>
      <c r="BF93" s="1"/>
      <c r="BG93" s="1"/>
      <c r="BH93" s="1"/>
      <c r="BI93" s="1"/>
      <c r="BJ93" s="1"/>
      <c r="BK93" s="1"/>
      <c r="BL93" s="1"/>
    </row>
    <row r="94" spans="1:64" x14ac:dyDescent="0.25">
      <c r="A94" s="1"/>
      <c r="B94" s="1"/>
      <c r="C94" s="30"/>
      <c r="D94" s="20"/>
      <c r="E94" s="1"/>
      <c r="F94" s="1"/>
      <c r="G94" s="1"/>
      <c r="H94" s="1"/>
      <c r="I94" s="1"/>
      <c r="J94" s="1"/>
      <c r="K94" s="1"/>
      <c r="L94" s="1"/>
      <c r="M94" s="1"/>
      <c r="N94" s="1"/>
      <c r="O94" s="1"/>
      <c r="P94" s="1"/>
      <c r="Y94" s="1"/>
      <c r="Z94" s="1"/>
      <c r="AA94" s="1"/>
      <c r="AB94" s="1"/>
      <c r="BA94" s="1"/>
      <c r="BB94" s="1"/>
      <c r="BC94" s="1"/>
      <c r="BD94" s="1"/>
      <c r="BE94" s="1"/>
      <c r="BF94" s="1"/>
      <c r="BG94" s="1"/>
      <c r="BH94" s="1"/>
      <c r="BI94" s="1"/>
      <c r="BJ94" s="1"/>
      <c r="BK94" s="1"/>
      <c r="BL94" s="1"/>
    </row>
    <row r="95" spans="1:64" x14ac:dyDescent="0.25">
      <c r="A95" s="1"/>
      <c r="B95" s="1"/>
      <c r="C95" s="30"/>
      <c r="D95" s="20"/>
      <c r="E95" s="1"/>
      <c r="F95" s="1"/>
      <c r="G95" s="1"/>
      <c r="H95" s="1"/>
      <c r="I95" s="1"/>
      <c r="J95" s="1"/>
      <c r="K95" s="1"/>
      <c r="L95" s="1"/>
      <c r="M95" s="1"/>
      <c r="N95" s="1"/>
      <c r="O95" s="1"/>
      <c r="P95" s="1"/>
      <c r="Y95" s="1"/>
      <c r="Z95" s="1"/>
      <c r="AA95" s="1"/>
      <c r="AB95" s="1"/>
      <c r="BA95" s="1"/>
      <c r="BB95" s="1"/>
      <c r="BC95" s="1"/>
      <c r="BD95" s="1"/>
      <c r="BE95" s="1"/>
      <c r="BF95" s="1"/>
      <c r="BG95" s="1"/>
      <c r="BH95" s="1"/>
      <c r="BI95" s="1"/>
      <c r="BJ95" s="1"/>
      <c r="BK95" s="1"/>
      <c r="BL95" s="1"/>
    </row>
    <row r="96" spans="1:64" x14ac:dyDescent="0.25">
      <c r="A96" s="1"/>
      <c r="B96" s="1"/>
      <c r="C96" s="30"/>
      <c r="D96" s="20"/>
      <c r="E96" s="1"/>
      <c r="F96" s="1"/>
      <c r="G96" s="1"/>
      <c r="H96" s="1"/>
      <c r="I96" s="1"/>
      <c r="J96" s="1"/>
      <c r="K96" s="1"/>
      <c r="L96" s="1"/>
      <c r="M96" s="1"/>
      <c r="N96" s="1"/>
      <c r="O96" s="1"/>
      <c r="P96" s="1"/>
      <c r="Y96" s="1"/>
      <c r="Z96" s="1"/>
      <c r="AA96" s="1"/>
      <c r="AB96" s="1"/>
      <c r="BA96" s="1"/>
      <c r="BB96" s="1"/>
      <c r="BC96" s="1"/>
      <c r="BD96" s="1"/>
      <c r="BE96" s="1"/>
      <c r="BF96" s="1"/>
      <c r="BG96" s="1"/>
      <c r="BH96" s="1"/>
      <c r="BI96" s="1"/>
      <c r="BJ96" s="1"/>
      <c r="BK96" s="1"/>
      <c r="BL96" s="1"/>
    </row>
    <row r="97" spans="1:64" x14ac:dyDescent="0.25">
      <c r="A97" s="1"/>
      <c r="B97" s="1"/>
      <c r="C97" s="30"/>
      <c r="D97" s="20"/>
      <c r="E97" s="1"/>
      <c r="F97" s="1"/>
      <c r="G97" s="1"/>
      <c r="H97" s="1"/>
      <c r="I97" s="1"/>
      <c r="J97" s="1"/>
      <c r="K97" s="1"/>
      <c r="L97" s="1"/>
      <c r="M97" s="1"/>
      <c r="N97" s="1"/>
      <c r="O97" s="1"/>
      <c r="P97" s="1"/>
      <c r="Y97" s="1"/>
      <c r="Z97" s="1"/>
      <c r="AA97" s="1"/>
      <c r="AB97" s="1"/>
      <c r="BA97" s="1"/>
      <c r="BB97" s="1"/>
      <c r="BC97" s="1"/>
      <c r="BD97" s="1"/>
      <c r="BE97" s="1"/>
      <c r="BF97" s="1"/>
      <c r="BG97" s="1"/>
      <c r="BH97" s="1"/>
      <c r="BI97" s="1"/>
      <c r="BJ97" s="1"/>
      <c r="BK97" s="1"/>
      <c r="BL97" s="1"/>
    </row>
    <row r="98" spans="1:64" x14ac:dyDescent="0.25">
      <c r="A98" s="1"/>
      <c r="B98" s="1"/>
      <c r="C98" s="30"/>
      <c r="D98" s="20"/>
      <c r="E98" s="1"/>
      <c r="F98" s="1"/>
      <c r="G98" s="1"/>
      <c r="H98" s="1"/>
      <c r="I98" s="1"/>
      <c r="J98" s="1"/>
      <c r="K98" s="1"/>
      <c r="L98" s="1"/>
      <c r="M98" s="1"/>
      <c r="N98" s="1"/>
      <c r="O98" s="1"/>
      <c r="P98" s="1"/>
      <c r="Y98" s="1"/>
      <c r="Z98" s="1"/>
      <c r="AA98" s="1"/>
      <c r="AB98" s="1"/>
      <c r="BA98" s="1"/>
      <c r="BB98" s="1"/>
      <c r="BC98" s="1"/>
      <c r="BD98" s="1"/>
      <c r="BE98" s="1"/>
      <c r="BF98" s="1"/>
      <c r="BG98" s="1"/>
      <c r="BH98" s="1"/>
      <c r="BI98" s="1"/>
      <c r="BJ98" s="1"/>
      <c r="BK98" s="1"/>
      <c r="BL98" s="1"/>
    </row>
    <row r="99" spans="1:64" x14ac:dyDescent="0.25">
      <c r="A99" s="1"/>
      <c r="B99" s="1"/>
      <c r="C99" s="30"/>
      <c r="D99" s="20"/>
      <c r="E99" s="1"/>
      <c r="F99" s="1"/>
      <c r="G99" s="1"/>
      <c r="H99" s="1"/>
      <c r="I99" s="1"/>
      <c r="J99" s="1"/>
      <c r="K99" s="1"/>
      <c r="L99" s="1"/>
      <c r="M99" s="1"/>
      <c r="N99" s="1"/>
      <c r="O99" s="1"/>
      <c r="P99" s="1"/>
      <c r="Y99" s="1"/>
      <c r="Z99" s="1"/>
      <c r="AA99" s="1"/>
      <c r="AB99" s="1"/>
      <c r="BA99" s="1"/>
      <c r="BB99" s="1"/>
      <c r="BC99" s="1"/>
      <c r="BD99" s="1"/>
      <c r="BE99" s="1"/>
      <c r="BF99" s="1"/>
      <c r="BG99" s="1"/>
      <c r="BH99" s="1"/>
      <c r="BI99" s="1"/>
      <c r="BJ99" s="1"/>
      <c r="BK99" s="1"/>
      <c r="BL99" s="1"/>
    </row>
    <row r="100" spans="1:64" x14ac:dyDescent="0.25">
      <c r="A100" s="1"/>
      <c r="B100" s="1"/>
      <c r="C100" s="30"/>
      <c r="D100" s="20"/>
      <c r="E100" s="1"/>
      <c r="F100" s="1"/>
      <c r="G100" s="1"/>
      <c r="H100" s="1"/>
      <c r="I100" s="1"/>
      <c r="J100" s="1"/>
      <c r="K100" s="1"/>
      <c r="L100" s="1"/>
      <c r="M100" s="1"/>
      <c r="N100" s="1"/>
      <c r="O100" s="1"/>
      <c r="P100" s="1"/>
      <c r="Y100" s="1"/>
      <c r="Z100" s="1"/>
      <c r="AA100" s="1"/>
      <c r="AB100" s="1"/>
      <c r="BA100" s="1"/>
      <c r="BB100" s="1"/>
      <c r="BC100" s="1"/>
      <c r="BD100" s="1"/>
      <c r="BE100" s="1"/>
      <c r="BF100" s="1"/>
      <c r="BG100" s="1"/>
      <c r="BH100" s="1"/>
      <c r="BI100" s="1"/>
      <c r="BJ100" s="1"/>
      <c r="BK100" s="1"/>
      <c r="BL100" s="1"/>
    </row>
    <row r="101" spans="1:64" x14ac:dyDescent="0.25">
      <c r="A101" s="1"/>
      <c r="B101" s="1"/>
      <c r="C101" s="30"/>
      <c r="D101" s="20"/>
      <c r="E101" s="1"/>
      <c r="F101" s="1"/>
      <c r="G101" s="1"/>
      <c r="H101" s="1"/>
      <c r="I101" s="1"/>
      <c r="J101" s="1"/>
      <c r="K101" s="1"/>
      <c r="L101" s="1"/>
      <c r="M101" s="1"/>
      <c r="N101" s="1"/>
      <c r="O101" s="1"/>
      <c r="P101" s="1"/>
      <c r="Y101" s="1"/>
      <c r="Z101" s="1"/>
      <c r="AA101" s="1"/>
      <c r="AB101" s="1"/>
      <c r="BA101" s="1"/>
      <c r="BB101" s="1"/>
      <c r="BC101" s="1"/>
      <c r="BD101" s="1"/>
      <c r="BE101" s="1"/>
      <c r="BF101" s="1"/>
      <c r="BG101" s="1"/>
      <c r="BH101" s="1"/>
      <c r="BI101" s="1"/>
      <c r="BJ101" s="1"/>
      <c r="BK101" s="1"/>
      <c r="BL101" s="1"/>
    </row>
    <row r="102" spans="1:64" x14ac:dyDescent="0.25">
      <c r="A102" s="1"/>
      <c r="B102" s="1"/>
      <c r="C102" s="30"/>
      <c r="D102" s="20"/>
      <c r="E102" s="1"/>
      <c r="F102" s="1"/>
      <c r="G102" s="1"/>
      <c r="H102" s="1"/>
      <c r="I102" s="1"/>
      <c r="J102" s="1"/>
      <c r="K102" s="1"/>
      <c r="L102" s="1"/>
      <c r="M102" s="1"/>
      <c r="N102" s="1"/>
      <c r="O102" s="1"/>
      <c r="P102" s="1"/>
      <c r="Y102" s="1"/>
      <c r="Z102" s="1"/>
      <c r="AA102" s="1"/>
      <c r="AB102" s="1"/>
      <c r="BA102" s="1"/>
      <c r="BB102" s="1"/>
      <c r="BC102" s="1"/>
      <c r="BD102" s="1"/>
      <c r="BE102" s="1"/>
      <c r="BF102" s="1"/>
      <c r="BG102" s="1"/>
      <c r="BH102" s="1"/>
      <c r="BI102" s="1"/>
      <c r="BJ102" s="1"/>
      <c r="BK102" s="1"/>
      <c r="BL102" s="1"/>
    </row>
    <row r="103" spans="1:64" x14ac:dyDescent="0.3">
      <c r="L103"/>
    </row>
    <row r="104" spans="1:64" x14ac:dyDescent="0.3">
      <c r="L104"/>
    </row>
    <row r="105" spans="1:64" x14ac:dyDescent="0.3">
      <c r="L105"/>
    </row>
    <row r="106" spans="1:64" x14ac:dyDescent="0.3">
      <c r="L106"/>
    </row>
    <row r="107" spans="1:64" x14ac:dyDescent="0.3">
      <c r="L107"/>
    </row>
    <row r="108" spans="1:64" x14ac:dyDescent="0.3">
      <c r="L108"/>
    </row>
    <row r="109" spans="1:64" x14ac:dyDescent="0.3">
      <c r="L109"/>
    </row>
    <row r="110" spans="1:64" x14ac:dyDescent="0.3">
      <c r="L110"/>
    </row>
    <row r="111" spans="1:64" x14ac:dyDescent="0.3">
      <c r="L111"/>
    </row>
    <row r="112" spans="1:64" x14ac:dyDescent="0.3">
      <c r="L112"/>
    </row>
    <row r="113" spans="12:12" x14ac:dyDescent="0.3">
      <c r="L113"/>
    </row>
    <row r="114" spans="12:12" x14ac:dyDescent="0.3">
      <c r="L114"/>
    </row>
    <row r="115" spans="12:12" x14ac:dyDescent="0.3">
      <c r="L115"/>
    </row>
    <row r="116" spans="12:12" x14ac:dyDescent="0.3">
      <c r="L116"/>
    </row>
    <row r="117" spans="12:12" x14ac:dyDescent="0.3">
      <c r="L117"/>
    </row>
    <row r="118" spans="12:12" x14ac:dyDescent="0.3">
      <c r="L118"/>
    </row>
    <row r="119" spans="12:12" x14ac:dyDescent="0.3">
      <c r="L119"/>
    </row>
    <row r="120" spans="12:12" x14ac:dyDescent="0.3">
      <c r="L120"/>
    </row>
    <row r="121" spans="12:12" x14ac:dyDescent="0.3">
      <c r="L121"/>
    </row>
    <row r="122" spans="12:12" x14ac:dyDescent="0.3">
      <c r="L122"/>
    </row>
    <row r="123" spans="12:12" x14ac:dyDescent="0.3">
      <c r="L123"/>
    </row>
    <row r="124" spans="12:12" x14ac:dyDescent="0.3">
      <c r="L124"/>
    </row>
    <row r="125" spans="12:12" x14ac:dyDescent="0.3">
      <c r="L125"/>
    </row>
    <row r="126" spans="12:12" x14ac:dyDescent="0.3">
      <c r="L126"/>
    </row>
    <row r="127" spans="12:12" x14ac:dyDescent="0.3">
      <c r="L127"/>
    </row>
    <row r="128" spans="12:12" x14ac:dyDescent="0.3">
      <c r="L128"/>
    </row>
    <row r="129" spans="12:12" x14ac:dyDescent="0.3">
      <c r="L129"/>
    </row>
    <row r="130" spans="12:12" x14ac:dyDescent="0.3">
      <c r="L130"/>
    </row>
    <row r="131" spans="12:12" x14ac:dyDescent="0.3">
      <c r="L131"/>
    </row>
    <row r="132" spans="12:12" x14ac:dyDescent="0.3">
      <c r="L132"/>
    </row>
    <row r="133" spans="12:12" x14ac:dyDescent="0.3">
      <c r="L133"/>
    </row>
    <row r="134" spans="12:12" x14ac:dyDescent="0.3">
      <c r="L134"/>
    </row>
    <row r="135" spans="12:12" x14ac:dyDescent="0.3">
      <c r="L135"/>
    </row>
    <row r="136" spans="12:12" x14ac:dyDescent="0.3">
      <c r="L136"/>
    </row>
    <row r="137" spans="12:12" x14ac:dyDescent="0.3">
      <c r="L137"/>
    </row>
    <row r="138" spans="12:12" x14ac:dyDescent="0.3">
      <c r="L138"/>
    </row>
    <row r="139" spans="12:12" x14ac:dyDescent="0.3">
      <c r="L139"/>
    </row>
    <row r="140" spans="12:12" x14ac:dyDescent="0.3">
      <c r="L140"/>
    </row>
    <row r="141" spans="12:12" x14ac:dyDescent="0.3">
      <c r="L141"/>
    </row>
    <row r="142" spans="12:12" x14ac:dyDescent="0.3">
      <c r="L142"/>
    </row>
    <row r="143" spans="12:12" x14ac:dyDescent="0.3">
      <c r="L143"/>
    </row>
    <row r="144" spans="12:12" x14ac:dyDescent="0.3">
      <c r="L144"/>
    </row>
    <row r="145" spans="12:12" x14ac:dyDescent="0.3">
      <c r="L145"/>
    </row>
    <row r="146" spans="12:12" x14ac:dyDescent="0.3">
      <c r="L146"/>
    </row>
    <row r="147" spans="12:12" x14ac:dyDescent="0.3">
      <c r="L147"/>
    </row>
    <row r="148" spans="12:12" x14ac:dyDescent="0.3">
      <c r="L148"/>
    </row>
    <row r="149" spans="12:12" x14ac:dyDescent="0.3">
      <c r="L149"/>
    </row>
    <row r="150" spans="12:12" x14ac:dyDescent="0.3">
      <c r="L150"/>
    </row>
    <row r="151" spans="12:12" x14ac:dyDescent="0.3">
      <c r="L151"/>
    </row>
    <row r="152" spans="12:12" x14ac:dyDescent="0.3">
      <c r="L152"/>
    </row>
    <row r="153" spans="12:12" x14ac:dyDescent="0.3">
      <c r="L153"/>
    </row>
    <row r="154" spans="12:12" x14ac:dyDescent="0.3">
      <c r="L154"/>
    </row>
    <row r="155" spans="12:12" x14ac:dyDescent="0.3">
      <c r="L155"/>
    </row>
    <row r="156" spans="12:12" x14ac:dyDescent="0.3">
      <c r="L156"/>
    </row>
    <row r="157" spans="12:12" x14ac:dyDescent="0.3">
      <c r="L157"/>
    </row>
    <row r="158" spans="12:12" x14ac:dyDescent="0.3">
      <c r="L158"/>
    </row>
    <row r="159" spans="12:12" x14ac:dyDescent="0.3">
      <c r="L159"/>
    </row>
    <row r="160" spans="12:12" x14ac:dyDescent="0.3">
      <c r="L160"/>
    </row>
    <row r="161" spans="12:12" x14ac:dyDescent="0.3">
      <c r="L161"/>
    </row>
    <row r="162" spans="12:12" x14ac:dyDescent="0.3">
      <c r="L162"/>
    </row>
    <row r="163" spans="12:12" x14ac:dyDescent="0.3">
      <c r="L163"/>
    </row>
    <row r="164" spans="12:12" x14ac:dyDescent="0.3">
      <c r="L164"/>
    </row>
    <row r="165" spans="12:12" x14ac:dyDescent="0.3">
      <c r="L165"/>
    </row>
    <row r="166" spans="12:12" x14ac:dyDescent="0.3">
      <c r="L166"/>
    </row>
    <row r="167" spans="12:12" x14ac:dyDescent="0.3">
      <c r="L167"/>
    </row>
    <row r="168" spans="12:12" x14ac:dyDescent="0.3">
      <c r="L168"/>
    </row>
    <row r="169" spans="12:12" x14ac:dyDescent="0.3">
      <c r="L169"/>
    </row>
    <row r="170" spans="12:12" x14ac:dyDescent="0.3">
      <c r="L170"/>
    </row>
    <row r="171" spans="12:12" x14ac:dyDescent="0.3">
      <c r="L171"/>
    </row>
    <row r="172" spans="12:12" x14ac:dyDescent="0.3">
      <c r="L172"/>
    </row>
    <row r="173" spans="12:12" x14ac:dyDescent="0.3">
      <c r="L173"/>
    </row>
    <row r="174" spans="12:12" x14ac:dyDescent="0.3">
      <c r="L174"/>
    </row>
    <row r="175" spans="12:12" x14ac:dyDescent="0.3">
      <c r="L175"/>
    </row>
    <row r="176" spans="12:12" x14ac:dyDescent="0.3">
      <c r="L176"/>
    </row>
    <row r="177" spans="12:12" x14ac:dyDescent="0.3">
      <c r="L177"/>
    </row>
    <row r="178" spans="12:12" x14ac:dyDescent="0.3">
      <c r="L178"/>
    </row>
    <row r="179" spans="12:12" x14ac:dyDescent="0.3">
      <c r="L179"/>
    </row>
    <row r="180" spans="12:12" x14ac:dyDescent="0.3">
      <c r="L180"/>
    </row>
    <row r="181" spans="12:12" x14ac:dyDescent="0.3">
      <c r="L181"/>
    </row>
    <row r="182" spans="12:12" x14ac:dyDescent="0.3">
      <c r="L182"/>
    </row>
    <row r="183" spans="12:12" x14ac:dyDescent="0.3">
      <c r="L183"/>
    </row>
    <row r="184" spans="12:12" x14ac:dyDescent="0.3">
      <c r="L184"/>
    </row>
    <row r="185" spans="12:12" x14ac:dyDescent="0.3">
      <c r="L185"/>
    </row>
    <row r="186" spans="12:12" x14ac:dyDescent="0.3">
      <c r="L186"/>
    </row>
    <row r="187" spans="12:12" x14ac:dyDescent="0.3">
      <c r="L187"/>
    </row>
    <row r="188" spans="12:12" x14ac:dyDescent="0.3">
      <c r="L188"/>
    </row>
    <row r="189" spans="12:12" x14ac:dyDescent="0.3">
      <c r="L189"/>
    </row>
    <row r="190" spans="12:12" x14ac:dyDescent="0.3">
      <c r="L190"/>
    </row>
    <row r="191" spans="12:12" x14ac:dyDescent="0.3">
      <c r="L191"/>
    </row>
    <row r="192" spans="12:12" x14ac:dyDescent="0.3">
      <c r="L192"/>
    </row>
    <row r="193" spans="12:12" x14ac:dyDescent="0.3">
      <c r="L193"/>
    </row>
    <row r="194" spans="12:12" x14ac:dyDescent="0.3">
      <c r="L194"/>
    </row>
    <row r="195" spans="12:12" x14ac:dyDescent="0.3">
      <c r="L195"/>
    </row>
    <row r="196" spans="12:12" x14ac:dyDescent="0.3">
      <c r="L196"/>
    </row>
    <row r="197" spans="12:12" x14ac:dyDescent="0.3">
      <c r="L197"/>
    </row>
    <row r="198" spans="12:12" x14ac:dyDescent="0.3">
      <c r="L198"/>
    </row>
    <row r="199" spans="12:12" x14ac:dyDescent="0.3">
      <c r="L199"/>
    </row>
    <row r="200" spans="12:12" x14ac:dyDescent="0.3">
      <c r="L200"/>
    </row>
    <row r="201" spans="12:12" x14ac:dyDescent="0.3">
      <c r="L201"/>
    </row>
    <row r="202" spans="12:12" x14ac:dyDescent="0.3">
      <c r="L202"/>
    </row>
    <row r="203" spans="12:12" x14ac:dyDescent="0.3">
      <c r="L203"/>
    </row>
    <row r="204" spans="12:12" x14ac:dyDescent="0.3">
      <c r="L204"/>
    </row>
    <row r="205" spans="12:12" x14ac:dyDescent="0.3">
      <c r="L205"/>
    </row>
    <row r="206" spans="12:12" x14ac:dyDescent="0.3">
      <c r="L206"/>
    </row>
    <row r="207" spans="12:12" x14ac:dyDescent="0.3">
      <c r="L207"/>
    </row>
    <row r="208" spans="12:12" x14ac:dyDescent="0.3">
      <c r="L208"/>
    </row>
    <row r="209" spans="12:12" x14ac:dyDescent="0.3">
      <c r="L209"/>
    </row>
    <row r="210" spans="12:12" x14ac:dyDescent="0.3">
      <c r="L210"/>
    </row>
    <row r="211" spans="12:12" x14ac:dyDescent="0.3">
      <c r="L211"/>
    </row>
    <row r="212" spans="12:12" x14ac:dyDescent="0.3">
      <c r="L212"/>
    </row>
    <row r="213" spans="12:12" x14ac:dyDescent="0.3">
      <c r="L213"/>
    </row>
    <row r="214" spans="12:12" x14ac:dyDescent="0.3">
      <c r="L214"/>
    </row>
    <row r="215" spans="12:12" x14ac:dyDescent="0.3">
      <c r="L215"/>
    </row>
    <row r="216" spans="12:12" x14ac:dyDescent="0.3">
      <c r="L216"/>
    </row>
    <row r="217" spans="12:12" x14ac:dyDescent="0.3">
      <c r="L217"/>
    </row>
    <row r="218" spans="12:12" x14ac:dyDescent="0.3">
      <c r="L218"/>
    </row>
    <row r="219" spans="12:12" x14ac:dyDescent="0.3">
      <c r="L219"/>
    </row>
    <row r="220" spans="12:12" x14ac:dyDescent="0.3">
      <c r="L220"/>
    </row>
    <row r="221" spans="12:12" x14ac:dyDescent="0.3">
      <c r="L221"/>
    </row>
    <row r="222" spans="12:12" x14ac:dyDescent="0.3">
      <c r="L222"/>
    </row>
    <row r="223" spans="12:12" x14ac:dyDescent="0.3">
      <c r="L223"/>
    </row>
    <row r="224" spans="12:12" x14ac:dyDescent="0.3">
      <c r="L224"/>
    </row>
    <row r="225" spans="12:12" x14ac:dyDescent="0.3">
      <c r="L225"/>
    </row>
    <row r="226" spans="12:12" x14ac:dyDescent="0.3">
      <c r="L226"/>
    </row>
    <row r="227" spans="12:12" x14ac:dyDescent="0.3">
      <c r="L227"/>
    </row>
    <row r="228" spans="12:12" x14ac:dyDescent="0.3">
      <c r="L228"/>
    </row>
    <row r="229" spans="12:12" x14ac:dyDescent="0.3">
      <c r="L229"/>
    </row>
    <row r="230" spans="12:12" x14ac:dyDescent="0.3">
      <c r="L230"/>
    </row>
    <row r="231" spans="12:12" x14ac:dyDescent="0.3">
      <c r="L231"/>
    </row>
    <row r="232" spans="12:12" x14ac:dyDescent="0.3">
      <c r="L232"/>
    </row>
    <row r="233" spans="12:12" x14ac:dyDescent="0.3">
      <c r="L233"/>
    </row>
    <row r="234" spans="12:12" x14ac:dyDescent="0.3">
      <c r="L234"/>
    </row>
    <row r="235" spans="12:12" x14ac:dyDescent="0.3">
      <c r="L235"/>
    </row>
    <row r="236" spans="12:12" x14ac:dyDescent="0.3">
      <c r="L236"/>
    </row>
    <row r="237" spans="12:12" x14ac:dyDescent="0.3">
      <c r="L237"/>
    </row>
    <row r="238" spans="12:12" x14ac:dyDescent="0.3">
      <c r="L238"/>
    </row>
    <row r="239" spans="12:12" x14ac:dyDescent="0.3">
      <c r="L239"/>
    </row>
    <row r="240" spans="12:12" x14ac:dyDescent="0.3">
      <c r="L240"/>
    </row>
    <row r="241" spans="12:12" x14ac:dyDescent="0.3">
      <c r="L241"/>
    </row>
    <row r="242" spans="12:12" x14ac:dyDescent="0.3">
      <c r="L242"/>
    </row>
    <row r="243" spans="12:12" x14ac:dyDescent="0.3">
      <c r="L243"/>
    </row>
    <row r="244" spans="12:12" x14ac:dyDescent="0.3">
      <c r="L244"/>
    </row>
    <row r="245" spans="12:12" x14ac:dyDescent="0.3">
      <c r="L245"/>
    </row>
    <row r="246" spans="12:12" x14ac:dyDescent="0.3">
      <c r="L246"/>
    </row>
    <row r="247" spans="12:12" x14ac:dyDescent="0.3">
      <c r="L247"/>
    </row>
    <row r="248" spans="12:12" x14ac:dyDescent="0.3">
      <c r="L248"/>
    </row>
    <row r="249" spans="12:12" x14ac:dyDescent="0.3">
      <c r="L249"/>
    </row>
    <row r="250" spans="12:12" x14ac:dyDescent="0.3">
      <c r="L250"/>
    </row>
    <row r="251" spans="12:12" x14ac:dyDescent="0.3">
      <c r="L251"/>
    </row>
    <row r="252" spans="12:12" x14ac:dyDescent="0.3">
      <c r="L252"/>
    </row>
    <row r="253" spans="12:12" x14ac:dyDescent="0.3">
      <c r="L253"/>
    </row>
    <row r="254" spans="12:12" x14ac:dyDescent="0.3">
      <c r="L254"/>
    </row>
    <row r="255" spans="12:12" x14ac:dyDescent="0.3">
      <c r="L255"/>
    </row>
    <row r="256" spans="12:12" x14ac:dyDescent="0.3">
      <c r="L256"/>
    </row>
    <row r="257" spans="12:12" x14ac:dyDescent="0.3">
      <c r="L257"/>
    </row>
    <row r="258" spans="12:12" x14ac:dyDescent="0.3">
      <c r="L258"/>
    </row>
    <row r="259" spans="12:12" x14ac:dyDescent="0.3">
      <c r="L259"/>
    </row>
    <row r="260" spans="12:12" x14ac:dyDescent="0.3">
      <c r="L260"/>
    </row>
    <row r="261" spans="12:12" x14ac:dyDescent="0.3">
      <c r="L261"/>
    </row>
    <row r="262" spans="12:12" x14ac:dyDescent="0.3">
      <c r="L262"/>
    </row>
    <row r="263" spans="12:12" x14ac:dyDescent="0.3">
      <c r="L263"/>
    </row>
    <row r="264" spans="12:12" x14ac:dyDescent="0.3">
      <c r="L264"/>
    </row>
    <row r="265" spans="12:12" x14ac:dyDescent="0.3">
      <c r="L265"/>
    </row>
    <row r="266" spans="12:12" x14ac:dyDescent="0.3">
      <c r="L266"/>
    </row>
    <row r="267" spans="12:12" x14ac:dyDescent="0.3">
      <c r="L267"/>
    </row>
    <row r="268" spans="12:12" x14ac:dyDescent="0.3">
      <c r="L268"/>
    </row>
    <row r="269" spans="12:12" x14ac:dyDescent="0.3">
      <c r="L269"/>
    </row>
    <row r="270" spans="12:12" x14ac:dyDescent="0.3">
      <c r="L270"/>
    </row>
    <row r="271" spans="12:12" x14ac:dyDescent="0.3">
      <c r="L271"/>
    </row>
    <row r="272" spans="12:12" x14ac:dyDescent="0.3">
      <c r="L272"/>
    </row>
    <row r="273" spans="12:12" x14ac:dyDescent="0.3">
      <c r="L273"/>
    </row>
    <row r="274" spans="12:12" x14ac:dyDescent="0.3">
      <c r="L274"/>
    </row>
    <row r="275" spans="12:12" x14ac:dyDescent="0.3">
      <c r="L275"/>
    </row>
    <row r="276" spans="12:12" x14ac:dyDescent="0.3">
      <c r="L276"/>
    </row>
    <row r="277" spans="12:12" x14ac:dyDescent="0.3">
      <c r="L277"/>
    </row>
    <row r="278" spans="12:12" x14ac:dyDescent="0.3">
      <c r="L278"/>
    </row>
    <row r="279" spans="12:12" x14ac:dyDescent="0.3">
      <c r="L279"/>
    </row>
    <row r="280" spans="12:12" x14ac:dyDescent="0.3">
      <c r="L280"/>
    </row>
    <row r="281" spans="12:12" x14ac:dyDescent="0.3">
      <c r="L281"/>
    </row>
    <row r="282" spans="12:12" x14ac:dyDescent="0.3">
      <c r="L282"/>
    </row>
    <row r="283" spans="12:12" x14ac:dyDescent="0.3">
      <c r="L283"/>
    </row>
    <row r="284" spans="12:12" x14ac:dyDescent="0.3">
      <c r="L284"/>
    </row>
    <row r="285" spans="12:12" x14ac:dyDescent="0.3">
      <c r="L285"/>
    </row>
    <row r="286" spans="12:12" x14ac:dyDescent="0.3">
      <c r="L286"/>
    </row>
    <row r="287" spans="12:12" x14ac:dyDescent="0.3">
      <c r="L287"/>
    </row>
    <row r="288" spans="12:12" x14ac:dyDescent="0.3">
      <c r="L288"/>
    </row>
    <row r="289" spans="12:12" x14ac:dyDescent="0.3">
      <c r="L289"/>
    </row>
    <row r="290" spans="12:12" x14ac:dyDescent="0.3">
      <c r="L290"/>
    </row>
    <row r="291" spans="12:12" x14ac:dyDescent="0.3">
      <c r="L291"/>
    </row>
    <row r="292" spans="12:12" x14ac:dyDescent="0.3">
      <c r="L292"/>
    </row>
    <row r="293" spans="12:12" x14ac:dyDescent="0.3">
      <c r="L293"/>
    </row>
    <row r="294" spans="12:12" x14ac:dyDescent="0.3">
      <c r="L294"/>
    </row>
    <row r="295" spans="12:12" x14ac:dyDescent="0.3">
      <c r="L295"/>
    </row>
    <row r="296" spans="12:12" x14ac:dyDescent="0.3">
      <c r="L296"/>
    </row>
    <row r="297" spans="12:12" x14ac:dyDescent="0.3">
      <c r="L297"/>
    </row>
    <row r="298" spans="12:12" x14ac:dyDescent="0.3">
      <c r="L298"/>
    </row>
    <row r="299" spans="12:12" x14ac:dyDescent="0.3">
      <c r="L299"/>
    </row>
    <row r="300" spans="12:12" x14ac:dyDescent="0.3">
      <c r="L300"/>
    </row>
    <row r="301" spans="12:12" x14ac:dyDescent="0.3">
      <c r="L301"/>
    </row>
    <row r="302" spans="12:12" x14ac:dyDescent="0.3">
      <c r="L302"/>
    </row>
    <row r="303" spans="12:12" x14ac:dyDescent="0.3">
      <c r="L303"/>
    </row>
    <row r="304" spans="12:12" x14ac:dyDescent="0.3">
      <c r="L304"/>
    </row>
    <row r="305" spans="12:12" x14ac:dyDescent="0.3">
      <c r="L305"/>
    </row>
    <row r="306" spans="12:12" x14ac:dyDescent="0.3">
      <c r="L306"/>
    </row>
    <row r="307" spans="12:12" x14ac:dyDescent="0.3">
      <c r="L307"/>
    </row>
    <row r="308" spans="12:12" x14ac:dyDescent="0.3">
      <c r="L308"/>
    </row>
    <row r="309" spans="12:12" x14ac:dyDescent="0.3">
      <c r="L309"/>
    </row>
    <row r="310" spans="12:12" x14ac:dyDescent="0.3">
      <c r="L310"/>
    </row>
    <row r="311" spans="12:12" x14ac:dyDescent="0.3">
      <c r="L311"/>
    </row>
    <row r="312" spans="12:12" x14ac:dyDescent="0.3">
      <c r="L312"/>
    </row>
    <row r="313" spans="12:12" x14ac:dyDescent="0.3">
      <c r="L313"/>
    </row>
    <row r="314" spans="12:12" x14ac:dyDescent="0.3">
      <c r="L314"/>
    </row>
    <row r="315" spans="12:12" x14ac:dyDescent="0.3">
      <c r="L315"/>
    </row>
    <row r="316" spans="12:12" x14ac:dyDescent="0.3">
      <c r="L316"/>
    </row>
    <row r="317" spans="12:12" x14ac:dyDescent="0.3">
      <c r="L317"/>
    </row>
    <row r="318" spans="12:12" x14ac:dyDescent="0.3">
      <c r="L318"/>
    </row>
    <row r="319" spans="12:12" x14ac:dyDescent="0.3">
      <c r="L319"/>
    </row>
    <row r="320" spans="12:12" x14ac:dyDescent="0.3">
      <c r="L320"/>
    </row>
    <row r="321" spans="12:12" x14ac:dyDescent="0.3">
      <c r="L321"/>
    </row>
    <row r="322" spans="12:12" x14ac:dyDescent="0.3">
      <c r="L322"/>
    </row>
    <row r="323" spans="12:12" x14ac:dyDescent="0.3">
      <c r="L323"/>
    </row>
    <row r="324" spans="12:12" x14ac:dyDescent="0.3">
      <c r="L324"/>
    </row>
    <row r="325" spans="12:12" x14ac:dyDescent="0.3">
      <c r="L325"/>
    </row>
    <row r="326" spans="12:12" x14ac:dyDescent="0.3">
      <c r="L326"/>
    </row>
    <row r="327" spans="12:12" x14ac:dyDescent="0.3">
      <c r="L327"/>
    </row>
    <row r="328" spans="12:12" x14ac:dyDescent="0.3">
      <c r="L328"/>
    </row>
    <row r="329" spans="12:12" x14ac:dyDescent="0.3">
      <c r="L329"/>
    </row>
    <row r="330" spans="12:12" x14ac:dyDescent="0.3">
      <c r="L330"/>
    </row>
    <row r="331" spans="12:12" x14ac:dyDescent="0.3">
      <c r="L331"/>
    </row>
    <row r="332" spans="12:12" x14ac:dyDescent="0.3">
      <c r="L332"/>
    </row>
    <row r="333" spans="12:12" x14ac:dyDescent="0.3">
      <c r="L333"/>
    </row>
    <row r="334" spans="12:12" x14ac:dyDescent="0.3">
      <c r="L334"/>
    </row>
    <row r="335" spans="12:12" x14ac:dyDescent="0.3">
      <c r="L335"/>
    </row>
    <row r="336" spans="12:12" x14ac:dyDescent="0.3">
      <c r="L336"/>
    </row>
    <row r="337" spans="12:12" x14ac:dyDescent="0.3">
      <c r="L337"/>
    </row>
    <row r="338" spans="12:12" x14ac:dyDescent="0.3">
      <c r="L338"/>
    </row>
    <row r="339" spans="12:12" x14ac:dyDescent="0.3">
      <c r="L339"/>
    </row>
    <row r="340" spans="12:12" x14ac:dyDescent="0.3">
      <c r="L340"/>
    </row>
    <row r="341" spans="12:12" x14ac:dyDescent="0.3">
      <c r="L341"/>
    </row>
    <row r="342" spans="12:12" x14ac:dyDescent="0.3">
      <c r="L342"/>
    </row>
    <row r="343" spans="12:12" x14ac:dyDescent="0.3">
      <c r="L343"/>
    </row>
    <row r="344" spans="12:12" x14ac:dyDescent="0.3">
      <c r="L344"/>
    </row>
    <row r="345" spans="12:12" x14ac:dyDescent="0.3">
      <c r="L345"/>
    </row>
    <row r="346" spans="12:12" x14ac:dyDescent="0.3">
      <c r="L346"/>
    </row>
    <row r="347" spans="12:12" x14ac:dyDescent="0.3">
      <c r="L347"/>
    </row>
    <row r="348" spans="12:12" x14ac:dyDescent="0.3">
      <c r="L348"/>
    </row>
    <row r="349" spans="12:12" x14ac:dyDescent="0.3">
      <c r="L349"/>
    </row>
    <row r="350" spans="12:12" x14ac:dyDescent="0.3">
      <c r="L350"/>
    </row>
    <row r="351" spans="12:12" x14ac:dyDescent="0.3">
      <c r="L351"/>
    </row>
    <row r="352" spans="12:12" x14ac:dyDescent="0.3">
      <c r="L352"/>
    </row>
    <row r="353" spans="12:12" x14ac:dyDescent="0.3">
      <c r="L353"/>
    </row>
    <row r="354" spans="12:12" x14ac:dyDescent="0.3">
      <c r="L354"/>
    </row>
    <row r="355" spans="12:12" x14ac:dyDescent="0.3">
      <c r="L355"/>
    </row>
    <row r="356" spans="12:12" x14ac:dyDescent="0.3">
      <c r="L356"/>
    </row>
    <row r="357" spans="12:12" x14ac:dyDescent="0.3">
      <c r="L357"/>
    </row>
    <row r="358" spans="12:12" x14ac:dyDescent="0.3">
      <c r="L358"/>
    </row>
    <row r="359" spans="12:12" x14ac:dyDescent="0.3">
      <c r="L359"/>
    </row>
    <row r="360" spans="12:12" x14ac:dyDescent="0.3">
      <c r="L360"/>
    </row>
    <row r="361" spans="12:12" x14ac:dyDescent="0.3">
      <c r="L361"/>
    </row>
    <row r="362" spans="12:12" x14ac:dyDescent="0.3">
      <c r="L362"/>
    </row>
    <row r="363" spans="12:12" x14ac:dyDescent="0.3">
      <c r="L363"/>
    </row>
    <row r="364" spans="12:12" x14ac:dyDescent="0.3">
      <c r="L364"/>
    </row>
    <row r="365" spans="12:12" x14ac:dyDescent="0.3">
      <c r="L365"/>
    </row>
    <row r="366" spans="12:12" x14ac:dyDescent="0.3">
      <c r="L366"/>
    </row>
    <row r="367" spans="12:12" x14ac:dyDescent="0.3">
      <c r="L367"/>
    </row>
    <row r="368" spans="12:12" x14ac:dyDescent="0.3">
      <c r="L368"/>
    </row>
    <row r="369" spans="12:12" x14ac:dyDescent="0.3">
      <c r="L369"/>
    </row>
    <row r="370" spans="12:12" x14ac:dyDescent="0.3">
      <c r="L370"/>
    </row>
    <row r="371" spans="12:12" x14ac:dyDescent="0.3">
      <c r="L371"/>
    </row>
    <row r="372" spans="12:12" x14ac:dyDescent="0.3">
      <c r="L372"/>
    </row>
    <row r="373" spans="12:12" x14ac:dyDescent="0.3">
      <c r="L373"/>
    </row>
    <row r="374" spans="12:12" x14ac:dyDescent="0.3">
      <c r="L374"/>
    </row>
    <row r="375" spans="12:12" x14ac:dyDescent="0.3">
      <c r="L375"/>
    </row>
    <row r="376" spans="12:12" x14ac:dyDescent="0.3">
      <c r="L376"/>
    </row>
    <row r="377" spans="12:12" x14ac:dyDescent="0.3">
      <c r="L377"/>
    </row>
    <row r="378" spans="12:12" x14ac:dyDescent="0.3">
      <c r="L378"/>
    </row>
    <row r="379" spans="12:12" x14ac:dyDescent="0.3">
      <c r="L379"/>
    </row>
    <row r="380" spans="12:12" x14ac:dyDescent="0.3">
      <c r="L380"/>
    </row>
    <row r="381" spans="12:12" x14ac:dyDescent="0.3">
      <c r="L381"/>
    </row>
    <row r="382" spans="12:12" x14ac:dyDescent="0.3">
      <c r="L382"/>
    </row>
    <row r="383" spans="12:12" x14ac:dyDescent="0.3">
      <c r="L383"/>
    </row>
    <row r="384" spans="12:12" x14ac:dyDescent="0.3">
      <c r="L384"/>
    </row>
    <row r="385" spans="12:12" x14ac:dyDescent="0.3">
      <c r="L385"/>
    </row>
    <row r="386" spans="12:12" x14ac:dyDescent="0.3">
      <c r="L386"/>
    </row>
    <row r="387" spans="12:12" x14ac:dyDescent="0.3">
      <c r="L387"/>
    </row>
    <row r="388" spans="12:12" x14ac:dyDescent="0.3">
      <c r="L388"/>
    </row>
    <row r="389" spans="12:12" x14ac:dyDescent="0.3">
      <c r="L389"/>
    </row>
    <row r="390" spans="12:12" x14ac:dyDescent="0.3">
      <c r="L390"/>
    </row>
    <row r="391" spans="12:12" x14ac:dyDescent="0.3">
      <c r="L391"/>
    </row>
    <row r="392" spans="12:12" x14ac:dyDescent="0.3">
      <c r="L392"/>
    </row>
    <row r="393" spans="12:12" x14ac:dyDescent="0.3">
      <c r="L393"/>
    </row>
    <row r="394" spans="12:12" x14ac:dyDescent="0.3">
      <c r="L394"/>
    </row>
    <row r="395" spans="12:12" x14ac:dyDescent="0.3">
      <c r="L395"/>
    </row>
  </sheetData>
  <mergeCells count="68">
    <mergeCell ref="A13:A22"/>
    <mergeCell ref="B14:B19"/>
    <mergeCell ref="B21:B22"/>
    <mergeCell ref="C21:C22"/>
    <mergeCell ref="A23:A27"/>
    <mergeCell ref="B24:B27"/>
    <mergeCell ref="AZ4:AZ5"/>
    <mergeCell ref="BB4:BB5"/>
    <mergeCell ref="A6:A12"/>
    <mergeCell ref="B7"/>
    <mergeCell ref="B8:B10"/>
    <mergeCell ref="B11:B12"/>
    <mergeCell ref="AU4:AU5"/>
    <mergeCell ref="AV4:AV5"/>
    <mergeCell ref="AW4:AW5"/>
    <mergeCell ref="AX4:AX5"/>
    <mergeCell ref="AY4:AY5"/>
    <mergeCell ref="AP4:AP5"/>
    <mergeCell ref="AQ4:AQ5"/>
    <mergeCell ref="AR4:AR5"/>
    <mergeCell ref="AS4:AS5"/>
    <mergeCell ref="AT4:AT5"/>
    <mergeCell ref="AK4:AK5"/>
    <mergeCell ref="AL4:AL5"/>
    <mergeCell ref="AM4:AM5"/>
    <mergeCell ref="AN4:AN5"/>
    <mergeCell ref="AO4:AO5"/>
    <mergeCell ref="AF4:AF5"/>
    <mergeCell ref="AG4:AG5"/>
    <mergeCell ref="AH4:AH5"/>
    <mergeCell ref="AI4:AI5"/>
    <mergeCell ref="AJ4:AJ5"/>
    <mergeCell ref="AA4:AA5"/>
    <mergeCell ref="AB4:AB5"/>
    <mergeCell ref="AC4:AC5"/>
    <mergeCell ref="AD4:AD5"/>
    <mergeCell ref="AE4:AE5"/>
    <mergeCell ref="V4:V5"/>
    <mergeCell ref="W4:W5"/>
    <mergeCell ref="X4:X5"/>
    <mergeCell ref="Y4:Y5"/>
    <mergeCell ref="Z4:Z5"/>
    <mergeCell ref="Q4:Q5"/>
    <mergeCell ref="R4:R5"/>
    <mergeCell ref="S4:S5"/>
    <mergeCell ref="T4:T5"/>
    <mergeCell ref="U4:U5"/>
    <mergeCell ref="J4:J5"/>
    <mergeCell ref="K4:K5"/>
    <mergeCell ref="L4:L5"/>
    <mergeCell ref="M4:M5"/>
    <mergeCell ref="O4:O5"/>
    <mergeCell ref="A1:AZ2"/>
    <mergeCell ref="E3:K3"/>
    <mergeCell ref="L3:P3"/>
    <mergeCell ref="Q3:X3"/>
    <mergeCell ref="Y3:AB3"/>
    <mergeCell ref="AC3:AJ3"/>
    <mergeCell ref="AK3:AN3"/>
    <mergeCell ref="AO3:AV3"/>
    <mergeCell ref="AW3:AZ3"/>
    <mergeCell ref="A3:A5"/>
    <mergeCell ref="B3:B5"/>
    <mergeCell ref="C3:C5"/>
    <mergeCell ref="D3:D5"/>
    <mergeCell ref="E4:F5"/>
    <mergeCell ref="G4:G5"/>
    <mergeCell ref="I4:I5"/>
  </mergeCells>
  <pageMargins left="0.39374999999999999" right="0.39374999999999999" top="0.39374999999999999" bottom="0.39374999999999999" header="0.39374999999999999" footer="0.39374999999999999"/>
  <pageSetup paperSize="9" scale="80" fitToWidth="0" pageOrder="overThenDown" orientation="landscape"/>
  <extLst>
    <ext uri="smNativeData">
      <pm:sheetPrefs xmlns:pm="smNativeData" day="1698359497" outlineProtect="1" showHorizontalRuler="1" showVerticalRuler="1" showAltShade="0">
        <pm:shade id="0" type="0" fgLvl="100" fgClr="000000" bgLvl="100" bgClr="FFFFFF"/>
        <pm:shade id="1" type="0" fgLvl="100" fgClr="000000" bgLvl="100" bgClr="FFFFFF"/>
      </pm:sheetPref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6BA2B-7447-4A76-8640-0D51F5746F8A}">
  <dimension ref="A2:P8"/>
  <sheetViews>
    <sheetView workbookViewId="0">
      <selection activeCell="C17" sqref="C17"/>
    </sheetView>
  </sheetViews>
  <sheetFormatPr defaultRowHeight="12.5" x14ac:dyDescent="0.25"/>
  <cols>
    <col min="1" max="1" width="15.453125" customWidth="1"/>
    <col min="2" max="2" width="11.1796875" customWidth="1"/>
    <col min="3" max="3" width="10.6328125" customWidth="1"/>
    <col min="4" max="4" width="9.90625" customWidth="1"/>
    <col min="5" max="5" width="10.90625" customWidth="1"/>
    <col min="6" max="6" width="11.26953125" customWidth="1"/>
    <col min="7" max="7" width="11.7265625" customWidth="1"/>
    <col min="8" max="8" width="10.6328125" customWidth="1"/>
    <col min="9" max="9" width="10.90625" customWidth="1"/>
    <col min="10" max="10" width="12" customWidth="1"/>
    <col min="11" max="11" width="10.7265625" customWidth="1"/>
    <col min="12" max="12" width="9.81640625" customWidth="1"/>
    <col min="13" max="13" width="11" customWidth="1"/>
    <col min="14" max="14" width="10.453125" customWidth="1"/>
    <col min="15" max="15" width="10.54296875" customWidth="1"/>
    <col min="16" max="16" width="10.08984375" customWidth="1"/>
  </cols>
  <sheetData>
    <row r="2" spans="1:16" ht="13" thickBot="1" x14ac:dyDescent="0.3"/>
    <row r="3" spans="1:16" ht="13.5" thickBot="1" x14ac:dyDescent="0.3">
      <c r="B3" s="421" t="s">
        <v>183</v>
      </c>
      <c r="C3" s="422"/>
      <c r="D3" s="423"/>
      <c r="E3" s="421" t="s">
        <v>184</v>
      </c>
      <c r="F3" s="422"/>
      <c r="G3" s="423"/>
      <c r="H3" s="421" t="s">
        <v>185</v>
      </c>
      <c r="I3" s="422"/>
      <c r="J3" s="423"/>
      <c r="K3" s="421" t="s">
        <v>186</v>
      </c>
      <c r="L3" s="422"/>
      <c r="M3" s="423"/>
      <c r="N3" s="421" t="s">
        <v>187</v>
      </c>
      <c r="O3" s="422"/>
      <c r="P3" s="423"/>
    </row>
    <row r="4" spans="1:16" ht="52.5" thickBot="1" x14ac:dyDescent="0.3">
      <c r="B4" s="424" t="s">
        <v>188</v>
      </c>
      <c r="C4" s="425" t="s">
        <v>189</v>
      </c>
      <c r="D4" s="426" t="s">
        <v>190</v>
      </c>
      <c r="E4" s="424" t="s">
        <v>188</v>
      </c>
      <c r="F4" s="425" t="s">
        <v>189</v>
      </c>
      <c r="G4" s="426" t="s">
        <v>190</v>
      </c>
      <c r="H4" s="427" t="s">
        <v>188</v>
      </c>
      <c r="I4" s="428" t="s">
        <v>189</v>
      </c>
      <c r="J4" s="429" t="s">
        <v>190</v>
      </c>
      <c r="K4" s="427" t="s">
        <v>188</v>
      </c>
      <c r="L4" s="428" t="s">
        <v>189</v>
      </c>
      <c r="M4" s="429" t="s">
        <v>190</v>
      </c>
      <c r="N4" s="427" t="s">
        <v>188</v>
      </c>
      <c r="O4" s="428" t="s">
        <v>189</v>
      </c>
      <c r="P4" s="429" t="s">
        <v>191</v>
      </c>
    </row>
    <row r="5" spans="1:16" ht="13" x14ac:dyDescent="0.25">
      <c r="A5" s="442" t="s">
        <v>192</v>
      </c>
      <c r="B5" s="430">
        <f>'SOP without reserve projects'!AK6</f>
        <v>5127666</v>
      </c>
      <c r="C5" s="431">
        <f>'SOP without reserve projects'!AW6</f>
        <v>1354475</v>
      </c>
      <c r="D5" s="432">
        <f>SUM(B5:C5)</f>
        <v>6482141</v>
      </c>
      <c r="E5" s="430">
        <f>'SOP without reserve projects'!AL6</f>
        <v>6656299</v>
      </c>
      <c r="F5" s="431">
        <f>'SOP without reserve projects'!AX6</f>
        <v>1915029</v>
      </c>
      <c r="G5" s="432">
        <f>SUM(E5:F5)</f>
        <v>8571328</v>
      </c>
      <c r="H5" s="430">
        <f>'SOP without reserve projects'!AM6</f>
        <v>8250049</v>
      </c>
      <c r="I5" s="431">
        <f>'SOP without reserve projects'!AY6</f>
        <v>2196279</v>
      </c>
      <c r="J5" s="432">
        <f>SUM(H5:I5)</f>
        <v>10446328</v>
      </c>
      <c r="K5" s="430">
        <f>'SOP without reserve projects'!AN6</f>
        <v>6452653</v>
      </c>
      <c r="L5" s="431">
        <f>'SOP without reserve projects'!AZ6</f>
        <v>1817549</v>
      </c>
      <c r="M5" s="432">
        <f>SUM(K5:L5)</f>
        <v>8270202</v>
      </c>
      <c r="N5" s="430">
        <f t="shared" ref="N5:O7" si="0">B5+E5+H5+K5</f>
        <v>26486667</v>
      </c>
      <c r="O5" s="431">
        <f t="shared" si="0"/>
        <v>7283332</v>
      </c>
      <c r="P5" s="432">
        <f>SUM(N5:O5)</f>
        <v>33769999</v>
      </c>
    </row>
    <row r="6" spans="1:16" ht="13" x14ac:dyDescent="0.25">
      <c r="A6" s="443" t="s">
        <v>193</v>
      </c>
      <c r="B6" s="433">
        <f>'SOP without reserve projects'!AK13</f>
        <v>724625</v>
      </c>
      <c r="C6" s="434">
        <f>'SOP without reserve projects'!AW13</f>
        <v>127875</v>
      </c>
      <c r="D6" s="432">
        <f t="shared" ref="D6:D7" si="1">SUM(B6:C6)</f>
        <v>852500</v>
      </c>
      <c r="E6" s="433">
        <f>'SOP without reserve projects'!AL13</f>
        <v>1731875</v>
      </c>
      <c r="F6" s="434">
        <f>'SOP without reserve projects'!AX13</f>
        <v>305625</v>
      </c>
      <c r="G6" s="432">
        <f t="shared" ref="G6:G7" si="2">SUM(E6:F6)</f>
        <v>2037500</v>
      </c>
      <c r="H6" s="433">
        <f>'SOP without reserve projects'!AM13</f>
        <v>5146750</v>
      </c>
      <c r="I6" s="434">
        <f>'SOP without reserve projects'!AY13</f>
        <v>908250</v>
      </c>
      <c r="J6" s="432">
        <f t="shared" ref="J6:J7" si="3">SUM(H6:I6)</f>
        <v>6055000</v>
      </c>
      <c r="K6" s="433">
        <f>'SOP without reserve projects'!AN13</f>
        <v>3489250</v>
      </c>
      <c r="L6" s="434">
        <f>'SOP without reserve projects'!AZ13</f>
        <v>615750</v>
      </c>
      <c r="M6" s="432">
        <f t="shared" ref="M6:M7" si="4">SUM(K6:L6)</f>
        <v>4105000</v>
      </c>
      <c r="N6" s="430">
        <f t="shared" si="0"/>
        <v>11092500</v>
      </c>
      <c r="O6" s="431">
        <f t="shared" si="0"/>
        <v>1957500</v>
      </c>
      <c r="P6" s="432">
        <f t="shared" ref="P6:P7" si="5">SUM(N6:O6)</f>
        <v>13050000</v>
      </c>
    </row>
    <row r="7" spans="1:16" ht="13.5" thickBot="1" x14ac:dyDescent="0.3">
      <c r="A7" s="444" t="s">
        <v>194</v>
      </c>
      <c r="B7" s="435">
        <f>'SOP without reserve projects'!AK23</f>
        <v>647709</v>
      </c>
      <c r="C7" s="436">
        <f>'SOP without reserve projects'!AW23</f>
        <v>114302</v>
      </c>
      <c r="D7" s="437">
        <f t="shared" si="1"/>
        <v>762011</v>
      </c>
      <c r="E7" s="435">
        <f>'SOP without reserve projects'!AL23</f>
        <v>858083</v>
      </c>
      <c r="F7" s="436">
        <f>'SOP without reserve projects'!AX23</f>
        <v>151427</v>
      </c>
      <c r="G7" s="437">
        <f t="shared" si="2"/>
        <v>1009510</v>
      </c>
      <c r="H7" s="435">
        <f>'SOP without reserve projects'!AM23</f>
        <v>611583</v>
      </c>
      <c r="I7" s="436">
        <f>'SOP without reserve projects'!AY23</f>
        <v>107927</v>
      </c>
      <c r="J7" s="437">
        <f t="shared" si="3"/>
        <v>719510</v>
      </c>
      <c r="K7" s="435">
        <f>'SOP without reserve projects'!AN23</f>
        <v>303458</v>
      </c>
      <c r="L7" s="436">
        <f>'SOP without reserve projects'!AZ23</f>
        <v>53553</v>
      </c>
      <c r="M7" s="437">
        <f t="shared" si="4"/>
        <v>357011</v>
      </c>
      <c r="N7" s="430">
        <f>B7+E7+H7+K7</f>
        <v>2420833</v>
      </c>
      <c r="O7" s="431">
        <f t="shared" si="0"/>
        <v>427209</v>
      </c>
      <c r="P7" s="432">
        <f t="shared" si="5"/>
        <v>2848042</v>
      </c>
    </row>
    <row r="8" spans="1:16" ht="13.5" thickBot="1" x14ac:dyDescent="0.3">
      <c r="A8" s="445" t="s">
        <v>195</v>
      </c>
      <c r="B8" s="438">
        <f>SUM(B5:B7)</f>
        <v>6500000</v>
      </c>
      <c r="C8" s="439">
        <f t="shared" ref="C8:D8" si="6">SUM(C5:C7)</f>
        <v>1596652</v>
      </c>
      <c r="D8" s="440">
        <f t="shared" si="6"/>
        <v>8096652</v>
      </c>
      <c r="E8" s="438">
        <f>SUM(E5:E7)</f>
        <v>9246257</v>
      </c>
      <c r="F8" s="439">
        <f t="shared" ref="F8:J8" si="7">SUM(F5:F7)</f>
        <v>2372081</v>
      </c>
      <c r="G8" s="440">
        <f t="shared" si="7"/>
        <v>11618338</v>
      </c>
      <c r="H8" s="438">
        <f t="shared" si="7"/>
        <v>14008382</v>
      </c>
      <c r="I8" s="439">
        <f t="shared" si="7"/>
        <v>3212456</v>
      </c>
      <c r="J8" s="440">
        <f t="shared" si="7"/>
        <v>17220838</v>
      </c>
      <c r="K8" s="441">
        <f>SUM(K5:K7)</f>
        <v>10245361</v>
      </c>
      <c r="L8" s="439">
        <f t="shared" ref="L8:M8" si="8">SUM(L5:L7)</f>
        <v>2486852</v>
      </c>
      <c r="M8" s="440">
        <f t="shared" si="8"/>
        <v>12732213</v>
      </c>
      <c r="N8" s="441">
        <f>SUM(N5:N7)</f>
        <v>40000000</v>
      </c>
      <c r="O8" s="439">
        <f>SUM(O5:O7)</f>
        <v>9668041</v>
      </c>
      <c r="P8" s="440">
        <f>SUM(P5:P7)</f>
        <v>49668041</v>
      </c>
    </row>
  </sheetData>
  <mergeCells count="5">
    <mergeCell ref="B3:D3"/>
    <mergeCell ref="E3:G3"/>
    <mergeCell ref="H3:J3"/>
    <mergeCell ref="K3:M3"/>
    <mergeCell ref="N3:P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102"/>
  <sheetViews>
    <sheetView zoomScale="80" workbookViewId="0">
      <selection activeCell="S28" sqref="S28"/>
    </sheetView>
  </sheetViews>
  <sheetFormatPr defaultColWidth="20.36328125" defaultRowHeight="13" x14ac:dyDescent="0.3"/>
  <cols>
    <col min="1" max="3" width="20.36328125" customWidth="1"/>
    <col min="4" max="4" width="20.36328125" style="21" customWidth="1"/>
    <col min="5" max="5" width="20.36328125" customWidth="1"/>
  </cols>
  <sheetData>
    <row r="1" spans="1:68" ht="23.25" customHeight="1" x14ac:dyDescent="0.25">
      <c r="A1" s="360" t="s">
        <v>156</v>
      </c>
      <c r="B1" s="361"/>
      <c r="C1" s="361"/>
      <c r="D1" s="361"/>
      <c r="E1" s="361"/>
      <c r="F1" s="361"/>
      <c r="G1" s="361"/>
      <c r="H1" s="361"/>
      <c r="I1" s="361"/>
      <c r="J1" s="361"/>
      <c r="K1" s="361"/>
      <c r="L1" s="361"/>
      <c r="M1" s="361"/>
      <c r="N1" s="361"/>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3"/>
      <c r="BN1" s="1"/>
      <c r="BO1" s="1"/>
      <c r="BP1" s="1"/>
    </row>
    <row r="2" spans="1:68" ht="34" customHeight="1" x14ac:dyDescent="0.25">
      <c r="A2" s="366" t="s">
        <v>34</v>
      </c>
      <c r="B2" s="367" t="s">
        <v>35</v>
      </c>
      <c r="C2" s="368" t="s">
        <v>157</v>
      </c>
      <c r="D2" s="377" t="s">
        <v>158</v>
      </c>
      <c r="E2" s="366" t="s">
        <v>38</v>
      </c>
      <c r="F2" s="367"/>
      <c r="G2" s="367"/>
      <c r="H2" s="367"/>
      <c r="I2" s="368"/>
      <c r="J2" s="366" t="s">
        <v>159</v>
      </c>
      <c r="K2" s="367"/>
      <c r="L2" s="367"/>
      <c r="M2" s="367"/>
      <c r="N2" s="368"/>
      <c r="O2" s="364" t="s">
        <v>160</v>
      </c>
      <c r="P2" s="364"/>
      <c r="Q2" s="364"/>
      <c r="R2" s="364"/>
      <c r="S2" s="364"/>
      <c r="T2" s="364"/>
      <c r="U2" s="364"/>
      <c r="V2" s="364"/>
      <c r="W2" s="364"/>
      <c r="X2" s="364"/>
      <c r="Y2" s="364"/>
      <c r="Z2" s="364"/>
      <c r="AA2" s="364"/>
      <c r="AB2" s="364"/>
      <c r="AC2" s="365"/>
      <c r="AD2" s="379"/>
      <c r="AE2" s="372" t="s">
        <v>161</v>
      </c>
      <c r="AF2" s="373"/>
      <c r="AG2" s="373"/>
      <c r="AH2" s="373"/>
      <c r="AI2" s="373"/>
      <c r="AJ2" s="373"/>
      <c r="AK2" s="373"/>
      <c r="AL2" s="374"/>
      <c r="AM2" s="383"/>
      <c r="AN2" s="372" t="s">
        <v>162</v>
      </c>
      <c r="AO2" s="373"/>
      <c r="AP2" s="373"/>
      <c r="AQ2" s="373"/>
      <c r="AR2" s="373"/>
      <c r="AS2" s="373"/>
      <c r="AT2" s="373"/>
      <c r="AU2" s="374"/>
      <c r="AV2" s="385"/>
      <c r="AW2" s="372" t="s">
        <v>163</v>
      </c>
      <c r="AX2" s="373"/>
      <c r="AY2" s="373"/>
      <c r="AZ2" s="373"/>
      <c r="BA2" s="373"/>
      <c r="BB2" s="373"/>
      <c r="BC2" s="373"/>
      <c r="BD2" s="374"/>
      <c r="BE2" s="383"/>
      <c r="BF2" s="372" t="s">
        <v>164</v>
      </c>
      <c r="BG2" s="373"/>
      <c r="BH2" s="373"/>
      <c r="BI2" s="373"/>
      <c r="BJ2" s="373"/>
      <c r="BK2" s="373"/>
      <c r="BL2" s="373"/>
      <c r="BM2" s="374"/>
      <c r="BN2" s="1"/>
      <c r="BO2" s="1"/>
      <c r="BP2" s="1"/>
    </row>
    <row r="3" spans="1:68" ht="23.25" customHeight="1" x14ac:dyDescent="0.25">
      <c r="A3" s="369"/>
      <c r="B3" s="370"/>
      <c r="C3" s="371"/>
      <c r="D3" s="378"/>
      <c r="E3" s="369"/>
      <c r="F3" s="370"/>
      <c r="G3" s="370"/>
      <c r="H3" s="370"/>
      <c r="I3" s="371"/>
      <c r="J3" s="369"/>
      <c r="K3" s="370"/>
      <c r="L3" s="370"/>
      <c r="M3" s="370"/>
      <c r="N3" s="371"/>
      <c r="O3" s="387">
        <v>2024</v>
      </c>
      <c r="P3" s="388"/>
      <c r="Q3" s="389"/>
      <c r="R3" s="390">
        <v>2025</v>
      </c>
      <c r="S3" s="388"/>
      <c r="T3" s="389"/>
      <c r="U3" s="390">
        <v>2026</v>
      </c>
      <c r="V3" s="388"/>
      <c r="W3" s="389"/>
      <c r="X3" s="390">
        <v>2027</v>
      </c>
      <c r="Y3" s="388"/>
      <c r="Z3" s="389"/>
      <c r="AA3" s="390" t="s">
        <v>165</v>
      </c>
      <c r="AB3" s="388"/>
      <c r="AC3" s="391"/>
      <c r="AD3" s="379"/>
      <c r="AE3" s="375"/>
      <c r="AF3" s="370"/>
      <c r="AG3" s="370"/>
      <c r="AH3" s="370"/>
      <c r="AI3" s="370"/>
      <c r="AJ3" s="370"/>
      <c r="AK3" s="370"/>
      <c r="AL3" s="376"/>
      <c r="AM3" s="384"/>
      <c r="AN3" s="375"/>
      <c r="AO3" s="370"/>
      <c r="AP3" s="370"/>
      <c r="AQ3" s="370"/>
      <c r="AR3" s="370"/>
      <c r="AS3" s="370"/>
      <c r="AT3" s="370"/>
      <c r="AU3" s="376"/>
      <c r="AV3" s="384"/>
      <c r="AW3" s="375"/>
      <c r="AX3" s="370"/>
      <c r="AY3" s="370"/>
      <c r="AZ3" s="370"/>
      <c r="BA3" s="370"/>
      <c r="BB3" s="370"/>
      <c r="BC3" s="370"/>
      <c r="BD3" s="376"/>
      <c r="BE3" s="386"/>
      <c r="BF3" s="375"/>
      <c r="BG3" s="370"/>
      <c r="BH3" s="370"/>
      <c r="BI3" s="370"/>
      <c r="BJ3" s="370"/>
      <c r="BK3" s="370"/>
      <c r="BL3" s="370"/>
      <c r="BM3" s="376"/>
      <c r="BN3" s="1"/>
      <c r="BO3" s="1"/>
      <c r="BP3" s="1"/>
    </row>
    <row r="4" spans="1:68" ht="20.25" customHeight="1" x14ac:dyDescent="0.25">
      <c r="A4" s="369"/>
      <c r="B4" s="370"/>
      <c r="C4" s="371"/>
      <c r="D4" s="378"/>
      <c r="E4" s="369" t="s">
        <v>7</v>
      </c>
      <c r="F4" s="370" t="s">
        <v>46</v>
      </c>
      <c r="G4" s="370" t="s">
        <v>47</v>
      </c>
      <c r="H4" s="370" t="s">
        <v>48</v>
      </c>
      <c r="I4" s="371" t="s">
        <v>49</v>
      </c>
      <c r="J4" s="369" t="s">
        <v>9</v>
      </c>
      <c r="K4" s="370" t="s">
        <v>10</v>
      </c>
      <c r="L4" s="370" t="s">
        <v>166</v>
      </c>
      <c r="M4" s="370" t="s">
        <v>11</v>
      </c>
      <c r="N4" s="371" t="s">
        <v>167</v>
      </c>
      <c r="O4" s="392" t="s">
        <v>168</v>
      </c>
      <c r="P4" s="393" t="s">
        <v>11</v>
      </c>
      <c r="Q4" s="394" t="s">
        <v>9</v>
      </c>
      <c r="R4" s="395" t="s">
        <v>168</v>
      </c>
      <c r="S4" s="393" t="s">
        <v>11</v>
      </c>
      <c r="T4" s="394" t="s">
        <v>9</v>
      </c>
      <c r="U4" s="395" t="s">
        <v>168</v>
      </c>
      <c r="V4" s="393" t="s">
        <v>11</v>
      </c>
      <c r="W4" s="394" t="s">
        <v>9</v>
      </c>
      <c r="X4" s="395" t="s">
        <v>168</v>
      </c>
      <c r="Y4" s="393" t="s">
        <v>11</v>
      </c>
      <c r="Z4" s="394" t="s">
        <v>9</v>
      </c>
      <c r="AA4" s="395" t="s">
        <v>168</v>
      </c>
      <c r="AB4" s="393" t="s">
        <v>11</v>
      </c>
      <c r="AC4" s="396" t="s">
        <v>9</v>
      </c>
      <c r="AD4" s="379"/>
      <c r="AE4" s="375">
        <v>2026</v>
      </c>
      <c r="AF4" s="370">
        <v>2027</v>
      </c>
      <c r="AG4" s="370">
        <v>2028</v>
      </c>
      <c r="AH4" s="370">
        <v>2029</v>
      </c>
      <c r="AI4" s="370">
        <v>2030</v>
      </c>
      <c r="AJ4" s="370">
        <v>2031</v>
      </c>
      <c r="AK4" s="370">
        <v>2032</v>
      </c>
      <c r="AL4" s="376">
        <v>2033</v>
      </c>
      <c r="AM4" s="384"/>
      <c r="AN4" s="375">
        <v>2026</v>
      </c>
      <c r="AO4" s="370">
        <v>2027</v>
      </c>
      <c r="AP4" s="370">
        <v>2028</v>
      </c>
      <c r="AQ4" s="370">
        <v>2029</v>
      </c>
      <c r="AR4" s="370">
        <v>2030</v>
      </c>
      <c r="AS4" s="370">
        <v>2031</v>
      </c>
      <c r="AT4" s="370">
        <v>2032</v>
      </c>
      <c r="AU4" s="376">
        <v>2033</v>
      </c>
      <c r="AV4" s="384"/>
      <c r="AW4" s="375">
        <v>2026</v>
      </c>
      <c r="AX4" s="370">
        <v>2027</v>
      </c>
      <c r="AY4" s="370">
        <v>2028</v>
      </c>
      <c r="AZ4" s="370">
        <v>2029</v>
      </c>
      <c r="BA4" s="370">
        <v>2030</v>
      </c>
      <c r="BB4" s="370">
        <v>2031</v>
      </c>
      <c r="BC4" s="370">
        <v>2032</v>
      </c>
      <c r="BD4" s="376">
        <v>2033</v>
      </c>
      <c r="BE4" s="386"/>
      <c r="BF4" s="375">
        <v>2026</v>
      </c>
      <c r="BG4" s="370">
        <v>2027</v>
      </c>
      <c r="BH4" s="370">
        <v>2028</v>
      </c>
      <c r="BI4" s="370">
        <v>2029</v>
      </c>
      <c r="BJ4" s="370">
        <v>2030</v>
      </c>
      <c r="BK4" s="370">
        <v>2031</v>
      </c>
      <c r="BL4" s="370">
        <v>2032</v>
      </c>
      <c r="BM4" s="376">
        <v>2033</v>
      </c>
      <c r="BN4" s="1"/>
      <c r="BO4" s="1"/>
      <c r="BP4" s="1"/>
    </row>
    <row r="5" spans="1:68" ht="87" customHeight="1" x14ac:dyDescent="0.25">
      <c r="A5" s="369"/>
      <c r="B5" s="370"/>
      <c r="C5" s="371"/>
      <c r="D5" s="378"/>
      <c r="E5" s="369"/>
      <c r="F5" s="370"/>
      <c r="G5" s="370"/>
      <c r="H5" s="370"/>
      <c r="I5" s="371"/>
      <c r="J5" s="369"/>
      <c r="K5" s="370"/>
      <c r="L5" s="370"/>
      <c r="M5" s="370"/>
      <c r="N5" s="371"/>
      <c r="O5" s="392"/>
      <c r="P5" s="393"/>
      <c r="Q5" s="394"/>
      <c r="R5" s="395"/>
      <c r="S5" s="393"/>
      <c r="T5" s="394"/>
      <c r="U5" s="395"/>
      <c r="V5" s="393"/>
      <c r="W5" s="394"/>
      <c r="X5" s="395"/>
      <c r="Y5" s="393"/>
      <c r="Z5" s="394"/>
      <c r="AA5" s="395"/>
      <c r="AB5" s="393"/>
      <c r="AC5" s="396"/>
      <c r="AD5" s="379"/>
      <c r="AE5" s="375"/>
      <c r="AF5" s="370"/>
      <c r="AG5" s="370"/>
      <c r="AH5" s="370"/>
      <c r="AI5" s="370"/>
      <c r="AJ5" s="370"/>
      <c r="AK5" s="370"/>
      <c r="AL5" s="376"/>
      <c r="AM5" s="384"/>
      <c r="AN5" s="375"/>
      <c r="AO5" s="370"/>
      <c r="AP5" s="370"/>
      <c r="AQ5" s="370"/>
      <c r="AR5" s="370"/>
      <c r="AS5" s="370"/>
      <c r="AT5" s="370"/>
      <c r="AU5" s="376"/>
      <c r="AV5" s="384"/>
      <c r="AW5" s="375"/>
      <c r="AX5" s="370"/>
      <c r="AY5" s="370"/>
      <c r="AZ5" s="370"/>
      <c r="BA5" s="370"/>
      <c r="BB5" s="370"/>
      <c r="BC5" s="370"/>
      <c r="BD5" s="376"/>
      <c r="BE5" s="386"/>
      <c r="BF5" s="375"/>
      <c r="BG5" s="370"/>
      <c r="BH5" s="370"/>
      <c r="BI5" s="370"/>
      <c r="BJ5" s="370"/>
      <c r="BK5" s="370"/>
      <c r="BL5" s="370"/>
      <c r="BM5" s="376"/>
      <c r="BN5" s="1"/>
      <c r="BO5" s="1"/>
      <c r="BP5" s="1"/>
    </row>
    <row r="6" spans="1:68" ht="35.25" customHeight="1" x14ac:dyDescent="0.25">
      <c r="A6" s="397" t="s">
        <v>57</v>
      </c>
      <c r="B6" s="87"/>
      <c r="C6" s="201"/>
      <c r="D6" s="251"/>
      <c r="E6" s="181"/>
      <c r="F6" s="88"/>
      <c r="G6" s="88"/>
      <c r="H6" s="88"/>
      <c r="I6" s="182"/>
      <c r="J6" s="190">
        <f>SUM(J7:J12)</f>
        <v>33770000</v>
      </c>
      <c r="K6" s="90">
        <f>SUM(K7:K12)</f>
        <v>26486667</v>
      </c>
      <c r="L6" s="91">
        <f>K6/J6</f>
        <v>0.7843</v>
      </c>
      <c r="M6" s="92">
        <f>SUM(M7:M12)</f>
        <v>7283333</v>
      </c>
      <c r="N6" s="191">
        <f t="shared" ref="N6:N28" si="0">M6/J6</f>
        <v>0.2157</v>
      </c>
      <c r="O6" s="94">
        <f t="shared" ref="O6:AC6" si="1">SUM(O7:O12)</f>
        <v>5127666</v>
      </c>
      <c r="P6" s="92">
        <f t="shared" si="1"/>
        <v>1279475</v>
      </c>
      <c r="Q6" s="95">
        <f t="shared" si="1"/>
        <v>6407141</v>
      </c>
      <c r="R6" s="96">
        <f t="shared" si="1"/>
        <v>6656299</v>
      </c>
      <c r="S6" s="92">
        <f t="shared" si="1"/>
        <v>1915029</v>
      </c>
      <c r="T6" s="95">
        <f t="shared" si="1"/>
        <v>8571328</v>
      </c>
      <c r="U6" s="96">
        <f t="shared" si="1"/>
        <v>8250049</v>
      </c>
      <c r="V6" s="92">
        <f t="shared" si="1"/>
        <v>2196279</v>
      </c>
      <c r="W6" s="95">
        <f t="shared" si="1"/>
        <v>10446328</v>
      </c>
      <c r="X6" s="96">
        <f t="shared" si="1"/>
        <v>6452653</v>
      </c>
      <c r="Y6" s="92">
        <f t="shared" si="1"/>
        <v>1817549</v>
      </c>
      <c r="Z6" s="95">
        <f t="shared" si="1"/>
        <v>8270202</v>
      </c>
      <c r="AA6" s="96">
        <f t="shared" si="1"/>
        <v>26486667</v>
      </c>
      <c r="AB6" s="92">
        <f t="shared" si="1"/>
        <v>7208332</v>
      </c>
      <c r="AC6" s="97">
        <f t="shared" si="1"/>
        <v>33694999</v>
      </c>
      <c r="AD6" s="380"/>
      <c r="AE6" s="98">
        <f t="shared" ref="AE6:AL6" si="2">SUM(AE7:AE12)</f>
        <v>0</v>
      </c>
      <c r="AF6" s="98">
        <f t="shared" si="2"/>
        <v>1284000</v>
      </c>
      <c r="AG6" s="98">
        <f t="shared" si="2"/>
        <v>6922000</v>
      </c>
      <c r="AH6" s="98">
        <f t="shared" si="2"/>
        <v>6275750</v>
      </c>
      <c r="AI6" s="98">
        <f t="shared" si="2"/>
        <v>5945750</v>
      </c>
      <c r="AJ6" s="98">
        <f t="shared" si="2"/>
        <v>5333750</v>
      </c>
      <c r="AK6" s="98">
        <f t="shared" si="2"/>
        <v>5198750</v>
      </c>
      <c r="AL6" s="98">
        <f t="shared" si="2"/>
        <v>2810000</v>
      </c>
      <c r="AM6" s="384"/>
      <c r="AN6" s="96">
        <f t="shared" ref="AN6:AU6" si="3">SUM(AN7:AN12)</f>
        <v>0</v>
      </c>
      <c r="AO6" s="96">
        <f t="shared" si="3"/>
        <v>1012000</v>
      </c>
      <c r="AP6" s="96">
        <f t="shared" si="3"/>
        <v>5380583</v>
      </c>
      <c r="AQ6" s="96">
        <f t="shared" si="3"/>
        <v>4876792</v>
      </c>
      <c r="AR6" s="96">
        <f t="shared" si="3"/>
        <v>4695542</v>
      </c>
      <c r="AS6" s="96">
        <f t="shared" si="3"/>
        <v>4215042</v>
      </c>
      <c r="AT6" s="96">
        <f t="shared" si="3"/>
        <v>4100292</v>
      </c>
      <c r="AU6" s="96">
        <f t="shared" si="3"/>
        <v>2206417</v>
      </c>
      <c r="AV6" s="384"/>
      <c r="AW6" s="102">
        <f t="shared" ref="AW6:BD6" si="4">SUM(AW7:AW12)</f>
        <v>0</v>
      </c>
      <c r="AX6" s="102">
        <f t="shared" si="4"/>
        <v>272000</v>
      </c>
      <c r="AY6" s="102">
        <f t="shared" si="4"/>
        <v>1541417</v>
      </c>
      <c r="AZ6" s="102">
        <f t="shared" si="4"/>
        <v>1398958</v>
      </c>
      <c r="BA6" s="102">
        <f t="shared" si="4"/>
        <v>1250208</v>
      </c>
      <c r="BB6" s="102">
        <f t="shared" si="4"/>
        <v>1118708</v>
      </c>
      <c r="BC6" s="102">
        <f t="shared" si="4"/>
        <v>1098458</v>
      </c>
      <c r="BD6" s="102">
        <f t="shared" si="4"/>
        <v>603583</v>
      </c>
      <c r="BE6" s="386"/>
      <c r="BF6" s="98">
        <f t="shared" ref="BF6:BM6" si="5">SUM(BF7:BF12)</f>
        <v>0</v>
      </c>
      <c r="BG6" s="98">
        <f t="shared" si="5"/>
        <v>0</v>
      </c>
      <c r="BH6" s="98">
        <f t="shared" si="5"/>
        <v>0</v>
      </c>
      <c r="BI6" s="98">
        <f t="shared" si="5"/>
        <v>0</v>
      </c>
      <c r="BJ6" s="98">
        <f t="shared" si="5"/>
        <v>0</v>
      </c>
      <c r="BK6" s="98">
        <f t="shared" si="5"/>
        <v>0</v>
      </c>
      <c r="BL6" s="98">
        <f t="shared" si="5"/>
        <v>0</v>
      </c>
      <c r="BM6" s="98">
        <f t="shared" si="5"/>
        <v>0</v>
      </c>
      <c r="BN6" s="1"/>
      <c r="BO6" s="1"/>
      <c r="BP6" s="1"/>
    </row>
    <row r="7" spans="1:68" s="23" customFormat="1" ht="409.6" customHeight="1" x14ac:dyDescent="0.3">
      <c r="A7" s="398"/>
      <c r="B7" s="401" t="s">
        <v>169</v>
      </c>
      <c r="C7" s="202" t="s">
        <v>59</v>
      </c>
      <c r="D7" s="252">
        <v>1</v>
      </c>
      <c r="E7" s="83" t="s">
        <v>60</v>
      </c>
      <c r="F7" s="84" t="s">
        <v>61</v>
      </c>
      <c r="G7" s="84" t="s">
        <v>63</v>
      </c>
      <c r="H7" s="84" t="s">
        <v>64</v>
      </c>
      <c r="I7" s="250" t="s">
        <v>170</v>
      </c>
      <c r="J7" s="192">
        <v>25850000</v>
      </c>
      <c r="K7" s="106">
        <f>J7*0.7795648075-83</f>
        <v>20151667</v>
      </c>
      <c r="L7" s="107">
        <f>K7/J7</f>
        <v>0.77959999999999996</v>
      </c>
      <c r="M7" s="108">
        <f>J7*(1-0.7795648075)+83</f>
        <v>5698333</v>
      </c>
      <c r="N7" s="193">
        <f t="shared" si="0"/>
        <v>0.22040000000000001</v>
      </c>
      <c r="O7" s="110">
        <f>K7*0.16627239</f>
        <v>3350666</v>
      </c>
      <c r="P7" s="108">
        <f>M7*0.16627239</f>
        <v>947475</v>
      </c>
      <c r="Q7" s="111">
        <f t="shared" ref="Q7:Q12" si="6">O7+P7</f>
        <v>4298141</v>
      </c>
      <c r="R7" s="112">
        <f>K7*0.269316378</f>
        <v>5427174</v>
      </c>
      <c r="S7" s="108">
        <f>M7*0.269316378</f>
        <v>1534654</v>
      </c>
      <c r="T7" s="111">
        <f t="shared" ref="T7:T12" si="7">R7+S7</f>
        <v>6961828</v>
      </c>
      <c r="U7" s="112">
        <f>K7*0.269316378</f>
        <v>5427174</v>
      </c>
      <c r="V7" s="108">
        <f>M7*0.269316378</f>
        <v>1534654</v>
      </c>
      <c r="W7" s="111">
        <f>U7+V7</f>
        <v>6961828</v>
      </c>
      <c r="X7" s="112">
        <f>K7*(1-0.16627239-0.269316378-0.269316378)</f>
        <v>5946653</v>
      </c>
      <c r="Y7" s="108">
        <f>M7*(1-0.16627239-0.269316378-0.269316378)</f>
        <v>1681549</v>
      </c>
      <c r="Z7" s="111">
        <f>X7+Y7</f>
        <v>7628202</v>
      </c>
      <c r="AA7" s="112">
        <f t="shared" ref="AA7:AB12" si="8">O7+R7+U7+X7</f>
        <v>20151667</v>
      </c>
      <c r="AB7" s="108">
        <f t="shared" si="8"/>
        <v>5698332</v>
      </c>
      <c r="AC7" s="113">
        <f t="shared" ref="AC7:AC12" si="9">AA7+AB7</f>
        <v>25849999</v>
      </c>
      <c r="AD7" s="380"/>
      <c r="AE7" s="114">
        <v>0</v>
      </c>
      <c r="AF7" s="115">
        <v>0</v>
      </c>
      <c r="AG7" s="115">
        <f>J7*0.2</f>
        <v>5170000</v>
      </c>
      <c r="AH7" s="115">
        <f>J7*(0.7/4)</f>
        <v>4523750</v>
      </c>
      <c r="AI7" s="115">
        <f>J7*(0.7/4)</f>
        <v>4523750</v>
      </c>
      <c r="AJ7" s="115">
        <f>J7*(0.7/4)</f>
        <v>4523750</v>
      </c>
      <c r="AK7" s="115">
        <f>J7*(0.7/4)</f>
        <v>4523750</v>
      </c>
      <c r="AL7" s="113">
        <f>J7*0.1</f>
        <v>2585000</v>
      </c>
      <c r="AM7" s="384"/>
      <c r="AN7" s="112">
        <v>0</v>
      </c>
      <c r="AO7" s="116">
        <v>0</v>
      </c>
      <c r="AP7" s="116">
        <f>K7*0.2</f>
        <v>4030333</v>
      </c>
      <c r="AQ7" s="116">
        <f>K7*(0.7/4)</f>
        <v>3526542</v>
      </c>
      <c r="AR7" s="116">
        <f>K7*(0.7/4)</f>
        <v>3526542</v>
      </c>
      <c r="AS7" s="116">
        <f>K7*(0.7/4)</f>
        <v>3526542</v>
      </c>
      <c r="AT7" s="116">
        <f>K7*(0.7/4)</f>
        <v>3526542</v>
      </c>
      <c r="AU7" s="117">
        <f>K7*0.1</f>
        <v>2015167</v>
      </c>
      <c r="AV7" s="384"/>
      <c r="AW7" s="118">
        <v>0</v>
      </c>
      <c r="AX7" s="108">
        <v>0</v>
      </c>
      <c r="AY7" s="108">
        <f>M7*0.2</f>
        <v>1139667</v>
      </c>
      <c r="AZ7" s="108">
        <f>M7*(0.7/4)</f>
        <v>997208</v>
      </c>
      <c r="BA7" s="108">
        <f>M7*(0.7/4)</f>
        <v>997208</v>
      </c>
      <c r="BB7" s="108">
        <f>M7*(0.7/4)</f>
        <v>997208</v>
      </c>
      <c r="BC7" s="108">
        <f>M7*(0.7/4)</f>
        <v>997208</v>
      </c>
      <c r="BD7" s="119">
        <f>M7*0.1</f>
        <v>569833</v>
      </c>
      <c r="BE7" s="386"/>
      <c r="BF7" s="114">
        <v>0</v>
      </c>
      <c r="BG7" s="115">
        <v>0</v>
      </c>
      <c r="BH7" s="115">
        <v>0</v>
      </c>
      <c r="BI7" s="115">
        <v>0</v>
      </c>
      <c r="BJ7" s="115">
        <v>0</v>
      </c>
      <c r="BK7" s="115">
        <v>0</v>
      </c>
      <c r="BL7" s="115">
        <v>0</v>
      </c>
      <c r="BM7" s="113">
        <v>0</v>
      </c>
      <c r="BN7" s="22"/>
      <c r="BO7" s="22"/>
      <c r="BP7" s="22"/>
    </row>
    <row r="8" spans="1:68" ht="110.25" customHeight="1" x14ac:dyDescent="0.25">
      <c r="A8" s="398"/>
      <c r="B8" s="401" t="s">
        <v>66</v>
      </c>
      <c r="C8" s="202" t="s">
        <v>67</v>
      </c>
      <c r="D8" s="252">
        <v>7</v>
      </c>
      <c r="E8" s="83" t="s">
        <v>16</v>
      </c>
      <c r="F8" s="84" t="s">
        <v>112</v>
      </c>
      <c r="G8" s="84" t="s">
        <v>70</v>
      </c>
      <c r="H8" s="84" t="s">
        <v>71</v>
      </c>
      <c r="I8" s="183" t="s">
        <v>72</v>
      </c>
      <c r="J8" s="192">
        <v>1350000</v>
      </c>
      <c r="K8" s="106">
        <f>J8*0.85</f>
        <v>1147500</v>
      </c>
      <c r="L8" s="120">
        <f>K8/J8</f>
        <v>0.85</v>
      </c>
      <c r="M8" s="108">
        <f>J8*0.15</f>
        <v>202500</v>
      </c>
      <c r="N8" s="194">
        <f t="shared" si="0"/>
        <v>0.15</v>
      </c>
      <c r="O8" s="110">
        <f>K8*0.2</f>
        <v>229500</v>
      </c>
      <c r="P8" s="108">
        <f>M8*0.2</f>
        <v>40500</v>
      </c>
      <c r="Q8" s="111">
        <f t="shared" si="6"/>
        <v>270000</v>
      </c>
      <c r="R8" s="112">
        <f>K8*0.35</f>
        <v>401625</v>
      </c>
      <c r="S8" s="108">
        <f>M8*0.35</f>
        <v>70875</v>
      </c>
      <c r="T8" s="111">
        <f t="shared" si="7"/>
        <v>472500</v>
      </c>
      <c r="U8" s="112">
        <f>K8*0.35</f>
        <v>401625</v>
      </c>
      <c r="V8" s="108">
        <f>M8*0.35</f>
        <v>70875</v>
      </c>
      <c r="W8" s="111">
        <f>U8+V8</f>
        <v>472500</v>
      </c>
      <c r="X8" s="112">
        <f>K8*0.1</f>
        <v>114750</v>
      </c>
      <c r="Y8" s="108">
        <f>M8*0.1</f>
        <v>20250</v>
      </c>
      <c r="Z8" s="111">
        <f>X8+Y8</f>
        <v>135000</v>
      </c>
      <c r="AA8" s="112">
        <f t="shared" si="8"/>
        <v>1147500</v>
      </c>
      <c r="AB8" s="108">
        <f t="shared" si="8"/>
        <v>202500</v>
      </c>
      <c r="AC8" s="113">
        <f t="shared" si="9"/>
        <v>1350000</v>
      </c>
      <c r="AD8" s="380"/>
      <c r="AE8" s="114">
        <v>0</v>
      </c>
      <c r="AF8" s="115">
        <f>J8*0.2</f>
        <v>270000</v>
      </c>
      <c r="AG8" s="115">
        <f>J8*(0.7/3)</f>
        <v>315000</v>
      </c>
      <c r="AH8" s="115">
        <f>J8*(0.7/3)</f>
        <v>315000</v>
      </c>
      <c r="AI8" s="115">
        <f>J8*(0.7/3)</f>
        <v>315000</v>
      </c>
      <c r="AJ8" s="115">
        <f>J8*0.1</f>
        <v>135000</v>
      </c>
      <c r="AK8" s="115">
        <v>0</v>
      </c>
      <c r="AL8" s="113">
        <v>0</v>
      </c>
      <c r="AM8" s="384"/>
      <c r="AN8" s="112">
        <v>0</v>
      </c>
      <c r="AO8" s="116">
        <f>K8*0.2</f>
        <v>229500</v>
      </c>
      <c r="AP8" s="116">
        <f>K8*(0.7/3)</f>
        <v>267750</v>
      </c>
      <c r="AQ8" s="116">
        <f>K8*(0.7/3)</f>
        <v>267750</v>
      </c>
      <c r="AR8" s="116">
        <f>K8*(0.7/3)</f>
        <v>267750</v>
      </c>
      <c r="AS8" s="116">
        <f>K8*0.1</f>
        <v>114750</v>
      </c>
      <c r="AT8" s="116">
        <v>0</v>
      </c>
      <c r="AU8" s="117">
        <v>0</v>
      </c>
      <c r="AV8" s="384"/>
      <c r="AW8" s="118">
        <v>0</v>
      </c>
      <c r="AX8" s="108">
        <f>M8*0.2</f>
        <v>40500</v>
      </c>
      <c r="AY8" s="108">
        <f>M8*(0.7/3)</f>
        <v>47250</v>
      </c>
      <c r="AZ8" s="108">
        <f>M8*(0.7/3)</f>
        <v>47250</v>
      </c>
      <c r="BA8" s="108">
        <f>M8*(0.7/3)</f>
        <v>47250</v>
      </c>
      <c r="BB8" s="108">
        <f>M8*0.1</f>
        <v>20250</v>
      </c>
      <c r="BC8" s="108">
        <v>0</v>
      </c>
      <c r="BD8" s="119">
        <v>0</v>
      </c>
      <c r="BE8" s="386"/>
      <c r="BF8" s="114">
        <v>0</v>
      </c>
      <c r="BG8" s="115">
        <v>0</v>
      </c>
      <c r="BH8" s="115">
        <v>0</v>
      </c>
      <c r="BI8" s="115">
        <v>0</v>
      </c>
      <c r="BJ8" s="115">
        <v>0</v>
      </c>
      <c r="BK8" s="115">
        <v>0</v>
      </c>
      <c r="BL8" s="115">
        <v>0</v>
      </c>
      <c r="BM8" s="113">
        <v>0</v>
      </c>
      <c r="BN8" s="1"/>
      <c r="BO8" s="1"/>
      <c r="BP8" s="1"/>
    </row>
    <row r="9" spans="1:68" ht="140.25" customHeight="1" x14ac:dyDescent="0.25">
      <c r="A9" s="398"/>
      <c r="B9" s="402"/>
      <c r="C9" s="203" t="s">
        <v>73</v>
      </c>
      <c r="D9" s="254">
        <v>6</v>
      </c>
      <c r="E9" s="83" t="s">
        <v>17</v>
      </c>
      <c r="F9" s="84" t="s">
        <v>171</v>
      </c>
      <c r="G9" s="84" t="s">
        <v>76</v>
      </c>
      <c r="H9" s="84" t="s">
        <v>77</v>
      </c>
      <c r="I9" s="183" t="s">
        <v>172</v>
      </c>
      <c r="J9" s="192">
        <v>1500000</v>
      </c>
      <c r="K9" s="106">
        <f>J9*0.85</f>
        <v>1275000</v>
      </c>
      <c r="L9" s="120">
        <v>0.85</v>
      </c>
      <c r="M9" s="108">
        <f>J9*0.15</f>
        <v>225000</v>
      </c>
      <c r="N9" s="194">
        <f t="shared" si="0"/>
        <v>0.15</v>
      </c>
      <c r="O9" s="110">
        <f>K9*0.9</f>
        <v>1147500</v>
      </c>
      <c r="P9" s="108">
        <f>K9*0.1</f>
        <v>127500</v>
      </c>
      <c r="Q9" s="111">
        <f t="shared" si="6"/>
        <v>1275000</v>
      </c>
      <c r="R9" s="112">
        <f>K9*0.1</f>
        <v>127500</v>
      </c>
      <c r="S9" s="108">
        <f>M9*0.1</f>
        <v>22500</v>
      </c>
      <c r="T9" s="111">
        <f t="shared" si="7"/>
        <v>150000</v>
      </c>
      <c r="U9" s="112">
        <v>0</v>
      </c>
      <c r="V9" s="108">
        <v>0</v>
      </c>
      <c r="W9" s="111">
        <v>0</v>
      </c>
      <c r="X9" s="112">
        <v>0</v>
      </c>
      <c r="Y9" s="108">
        <v>0</v>
      </c>
      <c r="Z9" s="111">
        <v>0</v>
      </c>
      <c r="AA9" s="112">
        <f t="shared" si="8"/>
        <v>1275000</v>
      </c>
      <c r="AB9" s="108">
        <f t="shared" si="8"/>
        <v>150000</v>
      </c>
      <c r="AC9" s="113">
        <f t="shared" si="9"/>
        <v>1425000</v>
      </c>
      <c r="AD9" s="380"/>
      <c r="AE9" s="114">
        <v>0</v>
      </c>
      <c r="AF9" s="115">
        <f>J9*0.3</f>
        <v>450000</v>
      </c>
      <c r="AG9" s="115">
        <f>J9*0.3</f>
        <v>450000</v>
      </c>
      <c r="AH9" s="115">
        <f>J9*0.3</f>
        <v>450000</v>
      </c>
      <c r="AI9" s="115">
        <f>J9*0.1</f>
        <v>150000</v>
      </c>
      <c r="AJ9" s="115">
        <v>0</v>
      </c>
      <c r="AK9" s="115">
        <v>0</v>
      </c>
      <c r="AL9" s="113">
        <v>0</v>
      </c>
      <c r="AM9" s="384"/>
      <c r="AN9" s="112">
        <v>0</v>
      </c>
      <c r="AO9" s="116">
        <f>K9*0.3</f>
        <v>382500</v>
      </c>
      <c r="AP9" s="116">
        <f>K9*0.3</f>
        <v>382500</v>
      </c>
      <c r="AQ9" s="116">
        <f>K9*0.3</f>
        <v>382500</v>
      </c>
      <c r="AR9" s="116">
        <f>K9*0.1</f>
        <v>127500</v>
      </c>
      <c r="AS9" s="116">
        <v>0</v>
      </c>
      <c r="AT9" s="116">
        <v>0</v>
      </c>
      <c r="AU9" s="117">
        <v>0</v>
      </c>
      <c r="AV9" s="384"/>
      <c r="AW9" s="118">
        <v>0</v>
      </c>
      <c r="AX9" s="108">
        <f>M9*0.3</f>
        <v>67500</v>
      </c>
      <c r="AY9" s="108">
        <f>M9*0.3</f>
        <v>67500</v>
      </c>
      <c r="AZ9" s="108">
        <f>M9*0.3</f>
        <v>67500</v>
      </c>
      <c r="BA9" s="108">
        <f>M9*0.1</f>
        <v>22500</v>
      </c>
      <c r="BB9" s="108">
        <v>0</v>
      </c>
      <c r="BC9" s="108">
        <v>0</v>
      </c>
      <c r="BD9" s="119">
        <v>0</v>
      </c>
      <c r="BE9" s="386"/>
      <c r="BF9" s="114">
        <v>0</v>
      </c>
      <c r="BG9" s="115">
        <v>0</v>
      </c>
      <c r="BH9" s="115">
        <v>0</v>
      </c>
      <c r="BI9" s="115">
        <v>0</v>
      </c>
      <c r="BJ9" s="115">
        <v>0</v>
      </c>
      <c r="BK9" s="115">
        <v>0</v>
      </c>
      <c r="BL9" s="115">
        <v>0</v>
      </c>
      <c r="BM9" s="113">
        <v>0</v>
      </c>
      <c r="BN9" s="1"/>
      <c r="BO9" s="1"/>
      <c r="BP9" s="1"/>
    </row>
    <row r="10" spans="1:68" ht="170.25" customHeight="1" x14ac:dyDescent="0.25">
      <c r="A10" s="398"/>
      <c r="B10" s="403"/>
      <c r="C10" s="203" t="s">
        <v>79</v>
      </c>
      <c r="D10" s="254">
        <v>6</v>
      </c>
      <c r="E10" s="83" t="s">
        <v>17</v>
      </c>
      <c r="F10" s="84" t="s">
        <v>80</v>
      </c>
      <c r="G10" s="84" t="s">
        <v>81</v>
      </c>
      <c r="H10" s="84" t="s">
        <v>77</v>
      </c>
      <c r="I10" s="183" t="s">
        <v>83</v>
      </c>
      <c r="J10" s="192">
        <v>2250000</v>
      </c>
      <c r="K10" s="106">
        <f>J10*0.85</f>
        <v>1912500</v>
      </c>
      <c r="L10" s="120">
        <f t="shared" ref="L10:L28" si="10">K10/J10</f>
        <v>0.85</v>
      </c>
      <c r="M10" s="108">
        <f>J10*0.15</f>
        <v>337500</v>
      </c>
      <c r="N10" s="194">
        <f t="shared" si="0"/>
        <v>0.15</v>
      </c>
      <c r="O10" s="110">
        <v>0</v>
      </c>
      <c r="P10" s="108">
        <v>0</v>
      </c>
      <c r="Q10" s="111">
        <f t="shared" si="6"/>
        <v>0</v>
      </c>
      <c r="R10" s="112">
        <v>0</v>
      </c>
      <c r="S10" s="108">
        <v>0</v>
      </c>
      <c r="T10" s="111">
        <f t="shared" si="7"/>
        <v>0</v>
      </c>
      <c r="U10" s="112">
        <f>K10*0.9</f>
        <v>1721250</v>
      </c>
      <c r="V10" s="108">
        <f>M10*0.9</f>
        <v>303750</v>
      </c>
      <c r="W10" s="111">
        <f>U10+V10</f>
        <v>2025000</v>
      </c>
      <c r="X10" s="112">
        <f>K10*0.1</f>
        <v>191250</v>
      </c>
      <c r="Y10" s="108">
        <f>M10*0.1</f>
        <v>33750</v>
      </c>
      <c r="Z10" s="111">
        <f>X10+Y10</f>
        <v>225000</v>
      </c>
      <c r="AA10" s="112">
        <f t="shared" si="8"/>
        <v>1912500</v>
      </c>
      <c r="AB10" s="108">
        <f t="shared" si="8"/>
        <v>337500</v>
      </c>
      <c r="AC10" s="113">
        <f t="shared" si="9"/>
        <v>2250000</v>
      </c>
      <c r="AD10" s="380"/>
      <c r="AE10" s="114">
        <v>0</v>
      </c>
      <c r="AF10" s="115">
        <v>0</v>
      </c>
      <c r="AG10" s="115">
        <v>0</v>
      </c>
      <c r="AH10" s="115">
        <v>0</v>
      </c>
      <c r="AI10" s="115">
        <f>J10*0.3</f>
        <v>675000</v>
      </c>
      <c r="AJ10" s="115">
        <f>J10*0.3</f>
        <v>675000</v>
      </c>
      <c r="AK10" s="115">
        <f>J10*0.3</f>
        <v>675000</v>
      </c>
      <c r="AL10" s="113">
        <f>J10*0.1</f>
        <v>225000</v>
      </c>
      <c r="AM10" s="384"/>
      <c r="AN10" s="112">
        <v>0</v>
      </c>
      <c r="AO10" s="116">
        <v>0</v>
      </c>
      <c r="AP10" s="116">
        <v>0</v>
      </c>
      <c r="AQ10" s="116">
        <v>0</v>
      </c>
      <c r="AR10" s="116">
        <f>K10*0.3</f>
        <v>573750</v>
      </c>
      <c r="AS10" s="116">
        <f>K10*0.3</f>
        <v>573750</v>
      </c>
      <c r="AT10" s="116">
        <f>K10*0.3</f>
        <v>573750</v>
      </c>
      <c r="AU10" s="117">
        <f>K10*0.1</f>
        <v>191250</v>
      </c>
      <c r="AV10" s="384"/>
      <c r="AW10" s="118">
        <v>0</v>
      </c>
      <c r="AX10" s="108">
        <v>0</v>
      </c>
      <c r="AY10" s="108">
        <v>0</v>
      </c>
      <c r="AZ10" s="108">
        <v>0</v>
      </c>
      <c r="BA10" s="108">
        <f>M10*0.3</f>
        <v>101250</v>
      </c>
      <c r="BB10" s="108">
        <f>M10*0.3</f>
        <v>101250</v>
      </c>
      <c r="BC10" s="108">
        <f>M10*0.3</f>
        <v>101250</v>
      </c>
      <c r="BD10" s="119">
        <f>M10*0.1</f>
        <v>33750</v>
      </c>
      <c r="BE10" s="386"/>
      <c r="BF10" s="114">
        <v>0</v>
      </c>
      <c r="BG10" s="115">
        <v>0</v>
      </c>
      <c r="BH10" s="115">
        <v>0</v>
      </c>
      <c r="BI10" s="115">
        <v>0</v>
      </c>
      <c r="BJ10" s="115">
        <v>0</v>
      </c>
      <c r="BK10" s="115">
        <v>0</v>
      </c>
      <c r="BL10" s="115">
        <v>0</v>
      </c>
      <c r="BM10" s="113">
        <v>0</v>
      </c>
      <c r="BN10" s="1"/>
      <c r="BO10" s="1"/>
      <c r="BP10" s="1"/>
    </row>
    <row r="11" spans="1:68" ht="127.5" customHeight="1" x14ac:dyDescent="0.25">
      <c r="A11" s="399"/>
      <c r="B11" s="402" t="s">
        <v>84</v>
      </c>
      <c r="C11" s="202" t="s">
        <v>85</v>
      </c>
      <c r="D11" s="253">
        <v>16</v>
      </c>
      <c r="E11" s="83" t="s">
        <v>86</v>
      </c>
      <c r="F11" s="84" t="s">
        <v>87</v>
      </c>
      <c r="G11" s="84" t="s">
        <v>89</v>
      </c>
      <c r="H11" s="84" t="s">
        <v>71</v>
      </c>
      <c r="I11" s="183" t="s">
        <v>90</v>
      </c>
      <c r="J11" s="192">
        <v>2100000</v>
      </c>
      <c r="K11" s="106">
        <f>J11*0.66666667</f>
        <v>1400000</v>
      </c>
      <c r="L11" s="120">
        <f t="shared" si="10"/>
        <v>0.66669999999999996</v>
      </c>
      <c r="M11" s="108">
        <f>J11*0.3333333333</f>
        <v>700000</v>
      </c>
      <c r="N11" s="194">
        <f t="shared" si="0"/>
        <v>0.33329999999999999</v>
      </c>
      <c r="O11" s="110">
        <f>K11*0.2</f>
        <v>280000</v>
      </c>
      <c r="P11" s="108">
        <f>M11*0.2</f>
        <v>140000</v>
      </c>
      <c r="Q11" s="111">
        <f t="shared" si="6"/>
        <v>420000</v>
      </c>
      <c r="R11" s="112">
        <f>K11*0.35</f>
        <v>490000</v>
      </c>
      <c r="S11" s="108">
        <f>M11*0.35</f>
        <v>245000</v>
      </c>
      <c r="T11" s="111">
        <f t="shared" si="7"/>
        <v>735000</v>
      </c>
      <c r="U11" s="112">
        <f>K11*0.35</f>
        <v>490000</v>
      </c>
      <c r="V11" s="108">
        <f>M11*0.35</f>
        <v>245000</v>
      </c>
      <c r="W11" s="111">
        <f>U11+V11</f>
        <v>735000</v>
      </c>
      <c r="X11" s="112">
        <f>K11*0.1</f>
        <v>140000</v>
      </c>
      <c r="Y11" s="108">
        <f>M11*0.1</f>
        <v>70000</v>
      </c>
      <c r="Z11" s="111">
        <f>X11+Y11</f>
        <v>210000</v>
      </c>
      <c r="AA11" s="112">
        <f t="shared" si="8"/>
        <v>1400000</v>
      </c>
      <c r="AB11" s="108">
        <f t="shared" si="8"/>
        <v>700000</v>
      </c>
      <c r="AC11" s="113">
        <f t="shared" si="9"/>
        <v>2100000</v>
      </c>
      <c r="AD11" s="380"/>
      <c r="AE11" s="114">
        <v>0</v>
      </c>
      <c r="AF11" s="115">
        <f>J11*0.2</f>
        <v>420000</v>
      </c>
      <c r="AG11" s="115">
        <f>J11*0.35</f>
        <v>735000</v>
      </c>
      <c r="AH11" s="115">
        <f>J11*0.35</f>
        <v>735000</v>
      </c>
      <c r="AI11" s="115">
        <f>J11*0.1</f>
        <v>210000</v>
      </c>
      <c r="AJ11" s="115">
        <v>0</v>
      </c>
      <c r="AK11" s="115">
        <v>0</v>
      </c>
      <c r="AL11" s="113">
        <v>0</v>
      </c>
      <c r="AM11" s="384"/>
      <c r="AN11" s="112">
        <v>0</v>
      </c>
      <c r="AO11" s="116">
        <f>K11*0.2</f>
        <v>280000</v>
      </c>
      <c r="AP11" s="116">
        <f>K11*0.35</f>
        <v>490000</v>
      </c>
      <c r="AQ11" s="116">
        <f>K11*0.35</f>
        <v>490000</v>
      </c>
      <c r="AR11" s="116">
        <f>K11*0.1</f>
        <v>140000</v>
      </c>
      <c r="AS11" s="116">
        <v>0</v>
      </c>
      <c r="AT11" s="116">
        <v>0</v>
      </c>
      <c r="AU11" s="117">
        <v>0</v>
      </c>
      <c r="AV11" s="384"/>
      <c r="AW11" s="118">
        <v>0</v>
      </c>
      <c r="AX11" s="108">
        <f>M11*0.2</f>
        <v>140000</v>
      </c>
      <c r="AY11" s="108">
        <f>M11*0.35</f>
        <v>245000</v>
      </c>
      <c r="AZ11" s="108">
        <f>M11*0.35</f>
        <v>245000</v>
      </c>
      <c r="BA11" s="108">
        <f>M11*0.1</f>
        <v>70000</v>
      </c>
      <c r="BB11" s="108">
        <v>0</v>
      </c>
      <c r="BC11" s="108">
        <v>0</v>
      </c>
      <c r="BD11" s="119">
        <v>0</v>
      </c>
      <c r="BE11" s="386"/>
      <c r="BF11" s="122">
        <v>0</v>
      </c>
      <c r="BG11" s="123">
        <v>0</v>
      </c>
      <c r="BH11" s="123">
        <v>0</v>
      </c>
      <c r="BI11" s="123">
        <v>0</v>
      </c>
      <c r="BJ11" s="123">
        <v>0</v>
      </c>
      <c r="BK11" s="123">
        <v>0</v>
      </c>
      <c r="BL11" s="123">
        <v>0</v>
      </c>
      <c r="BM11" s="124">
        <v>0</v>
      </c>
      <c r="BN11" s="1"/>
      <c r="BO11" s="1"/>
      <c r="BP11" s="1"/>
    </row>
    <row r="12" spans="1:68" ht="116.25" customHeight="1" x14ac:dyDescent="0.25">
      <c r="A12" s="400"/>
      <c r="B12" s="404"/>
      <c r="C12" s="204" t="s">
        <v>91</v>
      </c>
      <c r="D12" s="255">
        <v>16</v>
      </c>
      <c r="E12" s="161" t="s">
        <v>17</v>
      </c>
      <c r="F12" s="162" t="s">
        <v>93</v>
      </c>
      <c r="G12" s="162" t="s">
        <v>94</v>
      </c>
      <c r="H12" s="162" t="s">
        <v>95</v>
      </c>
      <c r="I12" s="184" t="s">
        <v>96</v>
      </c>
      <c r="J12" s="195">
        <v>720000</v>
      </c>
      <c r="K12" s="196">
        <f>J12*0.833333333</f>
        <v>600000</v>
      </c>
      <c r="L12" s="197">
        <f t="shared" si="10"/>
        <v>0.83330000000000004</v>
      </c>
      <c r="M12" s="198">
        <f>J12*0.1666666667</f>
        <v>120000</v>
      </c>
      <c r="N12" s="199">
        <f t="shared" si="0"/>
        <v>0.16669999999999999</v>
      </c>
      <c r="O12" s="110">
        <f>K12*0.2</f>
        <v>120000</v>
      </c>
      <c r="P12" s="108">
        <f>M12*0.2</f>
        <v>24000</v>
      </c>
      <c r="Q12" s="111">
        <f t="shared" si="6"/>
        <v>144000</v>
      </c>
      <c r="R12" s="112">
        <f>K12*0.35</f>
        <v>210000</v>
      </c>
      <c r="S12" s="108">
        <f>M12*0.35</f>
        <v>42000</v>
      </c>
      <c r="T12" s="111">
        <f t="shared" si="7"/>
        <v>252000</v>
      </c>
      <c r="U12" s="112">
        <f>K12*0.35</f>
        <v>210000</v>
      </c>
      <c r="V12" s="108">
        <f>M12*0.35</f>
        <v>42000</v>
      </c>
      <c r="W12" s="111">
        <f>U12+V12</f>
        <v>252000</v>
      </c>
      <c r="X12" s="112">
        <f>K12*0.1</f>
        <v>60000</v>
      </c>
      <c r="Y12" s="108">
        <f>M12*0.1</f>
        <v>12000</v>
      </c>
      <c r="Z12" s="111">
        <f>X12+Y12</f>
        <v>72000</v>
      </c>
      <c r="AA12" s="112">
        <f t="shared" si="8"/>
        <v>600000</v>
      </c>
      <c r="AB12" s="108">
        <f t="shared" si="8"/>
        <v>120000</v>
      </c>
      <c r="AC12" s="113">
        <f t="shared" si="9"/>
        <v>720000</v>
      </c>
      <c r="AD12" s="380"/>
      <c r="AE12" s="114">
        <v>0</v>
      </c>
      <c r="AF12" s="115">
        <f>J12*0.2</f>
        <v>144000</v>
      </c>
      <c r="AG12" s="115">
        <f>J12*0.35</f>
        <v>252000</v>
      </c>
      <c r="AH12" s="115">
        <f>J12*0.35</f>
        <v>252000</v>
      </c>
      <c r="AI12" s="115">
        <f>J12*0.1</f>
        <v>72000</v>
      </c>
      <c r="AJ12" s="115">
        <v>0</v>
      </c>
      <c r="AK12" s="115">
        <v>0</v>
      </c>
      <c r="AL12" s="113">
        <v>0</v>
      </c>
      <c r="AM12" s="384"/>
      <c r="AN12" s="112">
        <v>0</v>
      </c>
      <c r="AO12" s="116">
        <f>K12*0.2</f>
        <v>120000</v>
      </c>
      <c r="AP12" s="116">
        <f>K12*0.35</f>
        <v>210000</v>
      </c>
      <c r="AQ12" s="116">
        <f>K12*0.35</f>
        <v>210000</v>
      </c>
      <c r="AR12" s="116">
        <f>K12*0.1</f>
        <v>60000</v>
      </c>
      <c r="AS12" s="116">
        <v>0</v>
      </c>
      <c r="AT12" s="116">
        <v>0</v>
      </c>
      <c r="AU12" s="117">
        <v>0</v>
      </c>
      <c r="AV12" s="384"/>
      <c r="AW12" s="118">
        <v>0</v>
      </c>
      <c r="AX12" s="108">
        <f>M12*0.2</f>
        <v>24000</v>
      </c>
      <c r="AY12" s="108">
        <f>M12*0.35</f>
        <v>42000</v>
      </c>
      <c r="AZ12" s="108">
        <f>M12*0.35</f>
        <v>42000</v>
      </c>
      <c r="BA12" s="108">
        <f>M12*0.1</f>
        <v>12000</v>
      </c>
      <c r="BB12" s="108">
        <v>0</v>
      </c>
      <c r="BC12" s="108">
        <v>0</v>
      </c>
      <c r="BD12" s="119">
        <v>0</v>
      </c>
      <c r="BE12" s="386"/>
      <c r="BF12" s="122">
        <v>0</v>
      </c>
      <c r="BG12" s="123">
        <v>0</v>
      </c>
      <c r="BH12" s="123">
        <v>0</v>
      </c>
      <c r="BI12" s="123">
        <v>0</v>
      </c>
      <c r="BJ12" s="123">
        <v>0</v>
      </c>
      <c r="BK12" s="123">
        <v>0</v>
      </c>
      <c r="BL12" s="123">
        <v>0</v>
      </c>
      <c r="BM12" s="124">
        <v>0</v>
      </c>
      <c r="BN12" s="1"/>
      <c r="BO12" s="1"/>
      <c r="BP12" s="1"/>
    </row>
    <row r="13" spans="1:68" ht="27" customHeight="1" x14ac:dyDescent="0.25">
      <c r="A13" s="405" t="s">
        <v>97</v>
      </c>
      <c r="B13" s="200"/>
      <c r="C13" s="256"/>
      <c r="D13" s="259"/>
      <c r="E13" s="261"/>
      <c r="F13" s="262"/>
      <c r="G13" s="262"/>
      <c r="H13" s="262"/>
      <c r="I13" s="263"/>
      <c r="J13" s="185">
        <f>SUM(J14:J22)</f>
        <v>13050000</v>
      </c>
      <c r="K13" s="186">
        <f>SUM(K14:K22)</f>
        <v>11092500</v>
      </c>
      <c r="L13" s="187">
        <f t="shared" si="10"/>
        <v>0.85</v>
      </c>
      <c r="M13" s="188">
        <f>SUM(M14:M22)</f>
        <v>1957500</v>
      </c>
      <c r="N13" s="189">
        <f t="shared" si="0"/>
        <v>0.15</v>
      </c>
      <c r="O13" s="94">
        <f t="shared" ref="O13:AC13" si="11">SUM(O14:O22)</f>
        <v>724625</v>
      </c>
      <c r="P13" s="92">
        <f t="shared" si="11"/>
        <v>127875</v>
      </c>
      <c r="Q13" s="95">
        <f t="shared" si="11"/>
        <v>852500</v>
      </c>
      <c r="R13" s="96">
        <f t="shared" si="11"/>
        <v>1731875</v>
      </c>
      <c r="S13" s="92">
        <f t="shared" si="11"/>
        <v>305625</v>
      </c>
      <c r="T13" s="95">
        <f t="shared" si="11"/>
        <v>2037500</v>
      </c>
      <c r="U13" s="96">
        <f t="shared" si="11"/>
        <v>5146750</v>
      </c>
      <c r="V13" s="92">
        <f t="shared" si="11"/>
        <v>908250</v>
      </c>
      <c r="W13" s="95">
        <f t="shared" si="11"/>
        <v>6055000</v>
      </c>
      <c r="X13" s="96">
        <f t="shared" si="11"/>
        <v>3489250</v>
      </c>
      <c r="Y13" s="92">
        <f t="shared" si="11"/>
        <v>615750</v>
      </c>
      <c r="Z13" s="95">
        <f t="shared" si="11"/>
        <v>4105000</v>
      </c>
      <c r="AA13" s="96">
        <f t="shared" si="11"/>
        <v>11092500</v>
      </c>
      <c r="AB13" s="92">
        <f t="shared" si="11"/>
        <v>1957500</v>
      </c>
      <c r="AC13" s="97">
        <f t="shared" si="11"/>
        <v>13050000</v>
      </c>
      <c r="AD13" s="380"/>
      <c r="AE13" s="98">
        <f t="shared" ref="AE13:AL13" si="12">SUM(AE14:AE22)</f>
        <v>0</v>
      </c>
      <c r="AF13" s="99">
        <f t="shared" si="12"/>
        <v>0</v>
      </c>
      <c r="AG13" s="99">
        <f t="shared" si="12"/>
        <v>0</v>
      </c>
      <c r="AH13" s="99">
        <f t="shared" si="12"/>
        <v>852500</v>
      </c>
      <c r="AI13" s="99">
        <f t="shared" si="12"/>
        <v>1350000</v>
      </c>
      <c r="AJ13" s="99">
        <f t="shared" si="12"/>
        <v>3817500</v>
      </c>
      <c r="AK13" s="99">
        <f t="shared" si="12"/>
        <v>3525000</v>
      </c>
      <c r="AL13" s="97">
        <f t="shared" si="12"/>
        <v>3505000</v>
      </c>
      <c r="AM13" s="384"/>
      <c r="AN13" s="96">
        <f t="shared" ref="AN13:AU13" si="13">SUM(AN14:AN22)</f>
        <v>0</v>
      </c>
      <c r="AO13" s="100">
        <f t="shared" si="13"/>
        <v>0</v>
      </c>
      <c r="AP13" s="100">
        <f t="shared" si="13"/>
        <v>0</v>
      </c>
      <c r="AQ13" s="100">
        <f t="shared" si="13"/>
        <v>724625</v>
      </c>
      <c r="AR13" s="100">
        <f t="shared" si="13"/>
        <v>1147500</v>
      </c>
      <c r="AS13" s="100">
        <f t="shared" si="13"/>
        <v>3244875</v>
      </c>
      <c r="AT13" s="100">
        <f t="shared" si="13"/>
        <v>2996250</v>
      </c>
      <c r="AU13" s="101">
        <f t="shared" si="13"/>
        <v>2979250</v>
      </c>
      <c r="AV13" s="384"/>
      <c r="AW13" s="102">
        <f t="shared" ref="AW13:BD13" si="14">SUM(AW14:AW22)</f>
        <v>0</v>
      </c>
      <c r="AX13" s="92">
        <f t="shared" si="14"/>
        <v>0</v>
      </c>
      <c r="AY13" s="92">
        <f t="shared" si="14"/>
        <v>0</v>
      </c>
      <c r="AZ13" s="92">
        <f t="shared" si="14"/>
        <v>127875</v>
      </c>
      <c r="BA13" s="92">
        <f t="shared" si="14"/>
        <v>202500</v>
      </c>
      <c r="BB13" s="92">
        <f t="shared" si="14"/>
        <v>572625</v>
      </c>
      <c r="BC13" s="92">
        <f t="shared" si="14"/>
        <v>528750</v>
      </c>
      <c r="BD13" s="103">
        <f t="shared" si="14"/>
        <v>525750</v>
      </c>
      <c r="BE13" s="386"/>
      <c r="BF13" s="98">
        <f t="shared" ref="BF13:BM13" si="15">SUM(BF14:BF22)</f>
        <v>0</v>
      </c>
      <c r="BG13" s="99">
        <f t="shared" si="15"/>
        <v>600000</v>
      </c>
      <c r="BH13" s="99">
        <f t="shared" si="15"/>
        <v>400000</v>
      </c>
      <c r="BI13" s="99">
        <f t="shared" si="15"/>
        <v>700000</v>
      </c>
      <c r="BJ13" s="99">
        <f t="shared" si="15"/>
        <v>1150000</v>
      </c>
      <c r="BK13" s="99">
        <f t="shared" si="15"/>
        <v>600000</v>
      </c>
      <c r="BL13" s="99">
        <f t="shared" si="15"/>
        <v>50000</v>
      </c>
      <c r="BM13" s="97">
        <f t="shared" si="15"/>
        <v>0</v>
      </c>
      <c r="BN13" s="1"/>
      <c r="BO13" s="1"/>
      <c r="BP13" s="1"/>
    </row>
    <row r="14" spans="1:68" ht="99" customHeight="1" x14ac:dyDescent="0.25">
      <c r="A14" s="406"/>
      <c r="B14" s="407" t="s">
        <v>98</v>
      </c>
      <c r="C14" s="257" t="s">
        <v>99</v>
      </c>
      <c r="D14" s="253">
        <v>12</v>
      </c>
      <c r="E14" s="83" t="s">
        <v>100</v>
      </c>
      <c r="F14" s="84" t="s">
        <v>68</v>
      </c>
      <c r="G14" s="84" t="s">
        <v>108</v>
      </c>
      <c r="H14" s="84" t="s">
        <v>104</v>
      </c>
      <c r="I14" s="183" t="s">
        <v>105</v>
      </c>
      <c r="J14" s="105">
        <v>5500000</v>
      </c>
      <c r="K14" s="106">
        <f>J14*0.85</f>
        <v>4675000</v>
      </c>
      <c r="L14" s="107">
        <f t="shared" si="10"/>
        <v>0.85</v>
      </c>
      <c r="M14" s="108">
        <f t="shared" ref="M14:M22" si="16">J14*0.15</f>
        <v>825000</v>
      </c>
      <c r="N14" s="109">
        <f t="shared" si="0"/>
        <v>0.15</v>
      </c>
      <c r="O14" s="110">
        <f>K14*0.1</f>
        <v>467500</v>
      </c>
      <c r="P14" s="108">
        <f>M14*0.1</f>
        <v>82500</v>
      </c>
      <c r="Q14" s="111">
        <f t="shared" ref="Q14:Q22" si="17">O14+P14</f>
        <v>550000</v>
      </c>
      <c r="R14" s="112">
        <f>K14*0.3</f>
        <v>1402500</v>
      </c>
      <c r="S14" s="108">
        <f>M14*0.3</f>
        <v>247500</v>
      </c>
      <c r="T14" s="111">
        <f t="shared" ref="T14:T22" si="18">R14+S14</f>
        <v>1650000</v>
      </c>
      <c r="U14" s="112">
        <f>K14*0.3</f>
        <v>1402500</v>
      </c>
      <c r="V14" s="108">
        <f>M14*0.3</f>
        <v>247500</v>
      </c>
      <c r="W14" s="111">
        <f t="shared" ref="W14:W22" si="19">U14+V14</f>
        <v>1650000</v>
      </c>
      <c r="X14" s="112">
        <f>K14*0.3</f>
        <v>1402500</v>
      </c>
      <c r="Y14" s="108">
        <f>M14*0.3</f>
        <v>247500</v>
      </c>
      <c r="Z14" s="111">
        <f t="shared" ref="Z14:Z22" si="20">X14+Y14</f>
        <v>1650000</v>
      </c>
      <c r="AA14" s="112">
        <f t="shared" ref="AA14:AA22" si="21">O14+R14+U14+X14</f>
        <v>4675000</v>
      </c>
      <c r="AB14" s="108">
        <f t="shared" ref="AB14:AB22" si="22">P14+S14+V14+Y14</f>
        <v>825000</v>
      </c>
      <c r="AC14" s="113">
        <f t="shared" ref="AC14:AC22" si="23">AA14+AB14</f>
        <v>5500000</v>
      </c>
      <c r="AD14" s="381"/>
      <c r="AE14" s="114">
        <v>0</v>
      </c>
      <c r="AF14" s="115">
        <v>0</v>
      </c>
      <c r="AG14" s="115">
        <v>0</v>
      </c>
      <c r="AH14" s="115">
        <f>J14*0.1</f>
        <v>550000</v>
      </c>
      <c r="AI14" s="115">
        <f>J14*0.2</f>
        <v>1100000</v>
      </c>
      <c r="AJ14" s="115">
        <f>J14*0.2</f>
        <v>1100000</v>
      </c>
      <c r="AK14" s="115">
        <f>J14*0.2</f>
        <v>1100000</v>
      </c>
      <c r="AL14" s="113">
        <f>J14*0.3</f>
        <v>1650000</v>
      </c>
      <c r="AM14" s="384"/>
      <c r="AN14" s="112">
        <v>0</v>
      </c>
      <c r="AO14" s="116">
        <v>0</v>
      </c>
      <c r="AP14" s="116">
        <v>0</v>
      </c>
      <c r="AQ14" s="116">
        <f>K14*0.1</f>
        <v>467500</v>
      </c>
      <c r="AR14" s="116">
        <f>K14*0.2</f>
        <v>935000</v>
      </c>
      <c r="AS14" s="116">
        <f>K14*0.2</f>
        <v>935000</v>
      </c>
      <c r="AT14" s="116">
        <f>K14*0.2</f>
        <v>935000</v>
      </c>
      <c r="AU14" s="117">
        <f>K14*0.3</f>
        <v>1402500</v>
      </c>
      <c r="AV14" s="384"/>
      <c r="AW14" s="118">
        <v>0</v>
      </c>
      <c r="AX14" s="108">
        <v>0</v>
      </c>
      <c r="AY14" s="108">
        <v>0</v>
      </c>
      <c r="AZ14" s="108">
        <f>M14*0.1</f>
        <v>82500</v>
      </c>
      <c r="BA14" s="108">
        <f>M14*0.2</f>
        <v>165000</v>
      </c>
      <c r="BB14" s="108">
        <f>M14*0.2</f>
        <v>165000</v>
      </c>
      <c r="BC14" s="108">
        <f>M14*0.2</f>
        <v>165000</v>
      </c>
      <c r="BD14" s="119">
        <f>M14*0.3</f>
        <v>247500</v>
      </c>
      <c r="BE14" s="386"/>
      <c r="BF14" s="114">
        <v>0</v>
      </c>
      <c r="BG14" s="115">
        <v>0</v>
      </c>
      <c r="BH14" s="115">
        <v>0</v>
      </c>
      <c r="BI14" s="115">
        <v>0</v>
      </c>
      <c r="BJ14" s="115">
        <v>0</v>
      </c>
      <c r="BK14" s="115">
        <v>0</v>
      </c>
      <c r="BL14" s="115">
        <v>0</v>
      </c>
      <c r="BM14" s="113">
        <v>0</v>
      </c>
      <c r="BN14" s="1"/>
      <c r="BO14" s="1"/>
      <c r="BP14" s="1"/>
    </row>
    <row r="15" spans="1:68" ht="114.75" customHeight="1" x14ac:dyDescent="0.25">
      <c r="A15" s="406"/>
      <c r="B15" s="407"/>
      <c r="C15" s="257" t="s">
        <v>99</v>
      </c>
      <c r="D15" s="253">
        <v>13</v>
      </c>
      <c r="E15" s="83" t="s">
        <v>106</v>
      </c>
      <c r="F15" s="84" t="s">
        <v>112</v>
      </c>
      <c r="G15" s="84" t="s">
        <v>108</v>
      </c>
      <c r="H15" s="84" t="s">
        <v>104</v>
      </c>
      <c r="I15" s="183" t="s">
        <v>109</v>
      </c>
      <c r="J15" s="105">
        <v>550000</v>
      </c>
      <c r="K15" s="106">
        <f>J15*0.85</f>
        <v>467500</v>
      </c>
      <c r="L15" s="107">
        <f t="shared" si="10"/>
        <v>0.85</v>
      </c>
      <c r="M15" s="108">
        <f t="shared" si="16"/>
        <v>82500</v>
      </c>
      <c r="N15" s="109">
        <f t="shared" si="0"/>
        <v>0.15</v>
      </c>
      <c r="O15" s="110">
        <f>K15*0.55</f>
        <v>257125</v>
      </c>
      <c r="P15" s="108">
        <f>M15*0.55</f>
        <v>45375</v>
      </c>
      <c r="Q15" s="111">
        <f t="shared" si="17"/>
        <v>302500</v>
      </c>
      <c r="R15" s="112">
        <v>0</v>
      </c>
      <c r="S15" s="108">
        <v>0</v>
      </c>
      <c r="T15" s="111">
        <f t="shared" si="18"/>
        <v>0</v>
      </c>
      <c r="U15" s="112">
        <f>K15*0.35</f>
        <v>163625</v>
      </c>
      <c r="V15" s="108">
        <f>M15*0.35</f>
        <v>28875</v>
      </c>
      <c r="W15" s="111">
        <f t="shared" si="19"/>
        <v>192500</v>
      </c>
      <c r="X15" s="112">
        <f>K15*0.1</f>
        <v>46750</v>
      </c>
      <c r="Y15" s="108">
        <f>M15*0.1</f>
        <v>8250</v>
      </c>
      <c r="Z15" s="111">
        <f t="shared" si="20"/>
        <v>55000</v>
      </c>
      <c r="AA15" s="112">
        <f t="shared" si="21"/>
        <v>467500</v>
      </c>
      <c r="AB15" s="108">
        <f t="shared" si="22"/>
        <v>82500</v>
      </c>
      <c r="AC15" s="113">
        <f t="shared" si="23"/>
        <v>550000</v>
      </c>
      <c r="AD15" s="381"/>
      <c r="AE15" s="114">
        <v>0</v>
      </c>
      <c r="AF15" s="115">
        <v>0</v>
      </c>
      <c r="AG15" s="115">
        <v>0</v>
      </c>
      <c r="AH15" s="115">
        <f>J15*0.55</f>
        <v>302500</v>
      </c>
      <c r="AI15" s="115">
        <v>0</v>
      </c>
      <c r="AJ15" s="115">
        <f>J15*0.35</f>
        <v>192500</v>
      </c>
      <c r="AK15" s="115">
        <v>0</v>
      </c>
      <c r="AL15" s="113">
        <f>J15*0.1</f>
        <v>55000</v>
      </c>
      <c r="AM15" s="384"/>
      <c r="AN15" s="112">
        <v>0</v>
      </c>
      <c r="AO15" s="116">
        <v>0</v>
      </c>
      <c r="AP15" s="116">
        <v>0</v>
      </c>
      <c r="AQ15" s="116">
        <f>K15*0.55</f>
        <v>257125</v>
      </c>
      <c r="AR15" s="116">
        <v>0</v>
      </c>
      <c r="AS15" s="116">
        <f>K15*0.35</f>
        <v>163625</v>
      </c>
      <c r="AT15" s="116">
        <v>0</v>
      </c>
      <c r="AU15" s="117">
        <f>K15*0.1</f>
        <v>46750</v>
      </c>
      <c r="AV15" s="384"/>
      <c r="AW15" s="118">
        <v>0</v>
      </c>
      <c r="AX15" s="108">
        <v>0</v>
      </c>
      <c r="AY15" s="108">
        <v>0</v>
      </c>
      <c r="AZ15" s="108">
        <f>M15*0.55</f>
        <v>45375</v>
      </c>
      <c r="BA15" s="108">
        <v>0</v>
      </c>
      <c r="BB15" s="108">
        <f>M15*0.35</f>
        <v>28875</v>
      </c>
      <c r="BC15" s="108">
        <v>0</v>
      </c>
      <c r="BD15" s="119">
        <f>M15*0.1</f>
        <v>8250</v>
      </c>
      <c r="BE15" s="386"/>
      <c r="BF15" s="114">
        <v>0</v>
      </c>
      <c r="BG15" s="115">
        <v>0</v>
      </c>
      <c r="BH15" s="115">
        <v>0</v>
      </c>
      <c r="BI15" s="115">
        <f>S15*0.55</f>
        <v>0</v>
      </c>
      <c r="BJ15" s="115">
        <v>0</v>
      </c>
      <c r="BK15" s="115">
        <f>S15*0.35</f>
        <v>0</v>
      </c>
      <c r="BL15" s="115">
        <v>0</v>
      </c>
      <c r="BM15" s="113">
        <f>S15*0.1</f>
        <v>0</v>
      </c>
      <c r="BN15" s="1"/>
      <c r="BO15" s="1"/>
      <c r="BP15" s="1"/>
    </row>
    <row r="16" spans="1:68" ht="72.75" customHeight="1" x14ac:dyDescent="0.25">
      <c r="A16" s="406"/>
      <c r="B16" s="407"/>
      <c r="C16" s="257" t="s">
        <v>110</v>
      </c>
      <c r="D16" s="253">
        <v>11</v>
      </c>
      <c r="E16" s="83" t="s">
        <v>111</v>
      </c>
      <c r="F16" s="84" t="s">
        <v>112</v>
      </c>
      <c r="G16" s="84" t="s">
        <v>116</v>
      </c>
      <c r="H16" s="84" t="s">
        <v>77</v>
      </c>
      <c r="I16" s="183" t="s">
        <v>114</v>
      </c>
      <c r="J16" s="105">
        <v>3000000</v>
      </c>
      <c r="K16" s="106">
        <f>J16*0.85</f>
        <v>2550000</v>
      </c>
      <c r="L16" s="107">
        <f t="shared" si="10"/>
        <v>0.85</v>
      </c>
      <c r="M16" s="108">
        <f t="shared" si="16"/>
        <v>450000</v>
      </c>
      <c r="N16" s="109">
        <f t="shared" si="0"/>
        <v>0.15</v>
      </c>
      <c r="O16" s="110">
        <v>0</v>
      </c>
      <c r="P16" s="108">
        <v>0</v>
      </c>
      <c r="Q16" s="111">
        <f t="shared" si="17"/>
        <v>0</v>
      </c>
      <c r="R16" s="112">
        <v>0</v>
      </c>
      <c r="S16" s="108">
        <v>0</v>
      </c>
      <c r="T16" s="111">
        <f t="shared" si="18"/>
        <v>0</v>
      </c>
      <c r="U16" s="112">
        <f>K16*0.5</f>
        <v>1275000</v>
      </c>
      <c r="V16" s="108">
        <f>M16*0.5</f>
        <v>225000</v>
      </c>
      <c r="W16" s="111">
        <f t="shared" si="19"/>
        <v>1500000</v>
      </c>
      <c r="X16" s="112">
        <f>K16*0.5</f>
        <v>1275000</v>
      </c>
      <c r="Y16" s="108">
        <f>M16*0.5</f>
        <v>225000</v>
      </c>
      <c r="Z16" s="111">
        <f t="shared" si="20"/>
        <v>1500000</v>
      </c>
      <c r="AA16" s="112">
        <f t="shared" si="21"/>
        <v>2550000</v>
      </c>
      <c r="AB16" s="108">
        <f t="shared" si="22"/>
        <v>450000</v>
      </c>
      <c r="AC16" s="113">
        <f t="shared" si="23"/>
        <v>3000000</v>
      </c>
      <c r="AD16" s="381"/>
      <c r="AE16" s="114">
        <v>0</v>
      </c>
      <c r="AF16" s="115">
        <v>0</v>
      </c>
      <c r="AG16" s="115">
        <v>0</v>
      </c>
      <c r="AH16" s="115">
        <v>0</v>
      </c>
      <c r="AI16" s="115">
        <v>0</v>
      </c>
      <c r="AJ16" s="115">
        <f>J16*0.4</f>
        <v>1200000</v>
      </c>
      <c r="AK16" s="115">
        <f>J16*0.3</f>
        <v>900000</v>
      </c>
      <c r="AL16" s="113">
        <f>J16*0.3</f>
        <v>900000</v>
      </c>
      <c r="AM16" s="384"/>
      <c r="AN16" s="112">
        <v>0</v>
      </c>
      <c r="AO16" s="116">
        <v>0</v>
      </c>
      <c r="AP16" s="116">
        <v>0</v>
      </c>
      <c r="AQ16" s="116">
        <v>0</v>
      </c>
      <c r="AR16" s="116">
        <v>0</v>
      </c>
      <c r="AS16" s="116">
        <f>K16*0.4</f>
        <v>1020000</v>
      </c>
      <c r="AT16" s="116">
        <f>K16*0.3</f>
        <v>765000</v>
      </c>
      <c r="AU16" s="117">
        <f>K16*0.3</f>
        <v>765000</v>
      </c>
      <c r="AV16" s="384"/>
      <c r="AW16" s="118">
        <v>0</v>
      </c>
      <c r="AX16" s="108">
        <v>0</v>
      </c>
      <c r="AY16" s="108">
        <v>0</v>
      </c>
      <c r="AZ16" s="108">
        <v>0</v>
      </c>
      <c r="BA16" s="108">
        <v>0</v>
      </c>
      <c r="BB16" s="108">
        <f>M16*0.4</f>
        <v>180000</v>
      </c>
      <c r="BC16" s="108">
        <f>M16*0.3</f>
        <v>135000</v>
      </c>
      <c r="BD16" s="119">
        <f>M16*0.3</f>
        <v>135000</v>
      </c>
      <c r="BE16" s="386"/>
      <c r="BF16" s="114">
        <v>0</v>
      </c>
      <c r="BG16" s="115">
        <v>0</v>
      </c>
      <c r="BH16" s="115">
        <v>0</v>
      </c>
      <c r="BI16" s="115">
        <v>0</v>
      </c>
      <c r="BJ16" s="115">
        <v>0</v>
      </c>
      <c r="BK16" s="115">
        <f>S16*0.4</f>
        <v>0</v>
      </c>
      <c r="BL16" s="115">
        <f>S16*0.3</f>
        <v>0</v>
      </c>
      <c r="BM16" s="113">
        <f>S16*0.3</f>
        <v>0</v>
      </c>
      <c r="BN16" s="1"/>
      <c r="BO16" s="1"/>
      <c r="BP16" s="1"/>
    </row>
    <row r="17" spans="1:68" ht="133.5" customHeight="1" x14ac:dyDescent="0.25">
      <c r="A17" s="406"/>
      <c r="B17" s="407"/>
      <c r="C17" s="258" t="s">
        <v>173</v>
      </c>
      <c r="D17" s="253">
        <v>18</v>
      </c>
      <c r="E17" s="83" t="s">
        <v>120</v>
      </c>
      <c r="F17" s="84" t="s">
        <v>112</v>
      </c>
      <c r="G17" s="84" t="s">
        <v>103</v>
      </c>
      <c r="H17" s="84" t="s">
        <v>77</v>
      </c>
      <c r="I17" s="183" t="s">
        <v>174</v>
      </c>
      <c r="J17" s="105">
        <v>0</v>
      </c>
      <c r="K17" s="106">
        <v>0</v>
      </c>
      <c r="L17" s="107" t="e">
        <f t="shared" si="10"/>
        <v>#DIV/0!</v>
      </c>
      <c r="M17" s="108">
        <f t="shared" si="16"/>
        <v>0</v>
      </c>
      <c r="N17" s="109" t="e">
        <f t="shared" si="0"/>
        <v>#DIV/0!</v>
      </c>
      <c r="O17" s="110">
        <v>0</v>
      </c>
      <c r="P17" s="108">
        <v>0</v>
      </c>
      <c r="Q17" s="111">
        <f t="shared" si="17"/>
        <v>0</v>
      </c>
      <c r="R17" s="112">
        <v>0</v>
      </c>
      <c r="S17" s="108">
        <v>0</v>
      </c>
      <c r="T17" s="111">
        <f t="shared" si="18"/>
        <v>0</v>
      </c>
      <c r="U17" s="112">
        <v>0</v>
      </c>
      <c r="V17" s="108">
        <v>0</v>
      </c>
      <c r="W17" s="111">
        <f t="shared" si="19"/>
        <v>0</v>
      </c>
      <c r="X17" s="112">
        <v>0</v>
      </c>
      <c r="Y17" s="108">
        <v>0</v>
      </c>
      <c r="Z17" s="111">
        <f t="shared" si="20"/>
        <v>0</v>
      </c>
      <c r="AA17" s="112">
        <f t="shared" si="21"/>
        <v>0</v>
      </c>
      <c r="AB17" s="108">
        <f t="shared" si="22"/>
        <v>0</v>
      </c>
      <c r="AC17" s="113">
        <f t="shared" si="23"/>
        <v>0</v>
      </c>
      <c r="AD17" s="381"/>
      <c r="AE17" s="114">
        <v>0</v>
      </c>
      <c r="AF17" s="115">
        <v>0</v>
      </c>
      <c r="AG17" s="115">
        <v>0</v>
      </c>
      <c r="AH17" s="115">
        <v>0</v>
      </c>
      <c r="AI17" s="115">
        <v>0</v>
      </c>
      <c r="AJ17" s="115">
        <v>0</v>
      </c>
      <c r="AK17" s="115">
        <v>0</v>
      </c>
      <c r="AL17" s="113">
        <v>0</v>
      </c>
      <c r="AM17" s="384"/>
      <c r="AN17" s="112">
        <v>0</v>
      </c>
      <c r="AO17" s="116">
        <v>0</v>
      </c>
      <c r="AP17" s="116">
        <v>0</v>
      </c>
      <c r="AQ17" s="116">
        <v>0</v>
      </c>
      <c r="AR17" s="116">
        <v>0</v>
      </c>
      <c r="AS17" s="116">
        <v>0</v>
      </c>
      <c r="AT17" s="116">
        <v>0</v>
      </c>
      <c r="AU17" s="117">
        <v>0</v>
      </c>
      <c r="AV17" s="384"/>
      <c r="AW17" s="118">
        <v>0</v>
      </c>
      <c r="AX17" s="108">
        <v>0</v>
      </c>
      <c r="AY17" s="108">
        <v>0</v>
      </c>
      <c r="AZ17" s="108">
        <v>0</v>
      </c>
      <c r="BA17" s="108">
        <v>0</v>
      </c>
      <c r="BB17" s="108">
        <v>0</v>
      </c>
      <c r="BC17" s="108">
        <v>0</v>
      </c>
      <c r="BD17" s="119">
        <v>0</v>
      </c>
      <c r="BE17" s="386"/>
      <c r="BF17" s="122">
        <v>0</v>
      </c>
      <c r="BG17" s="123">
        <v>0</v>
      </c>
      <c r="BH17" s="123">
        <v>0</v>
      </c>
      <c r="BI17" s="123">
        <f>1000000*0.3</f>
        <v>300000</v>
      </c>
      <c r="BJ17" s="123">
        <f>1000000*0.6</f>
        <v>600000</v>
      </c>
      <c r="BK17" s="123">
        <f>1000000*0.1</f>
        <v>100000</v>
      </c>
      <c r="BL17" s="123">
        <v>0</v>
      </c>
      <c r="BM17" s="124">
        <v>0</v>
      </c>
      <c r="BN17" s="1"/>
      <c r="BO17" s="1"/>
      <c r="BP17" s="1"/>
    </row>
    <row r="18" spans="1:68" ht="133.5" customHeight="1" x14ac:dyDescent="0.25">
      <c r="A18" s="406"/>
      <c r="B18" s="407"/>
      <c r="C18" s="258" t="s">
        <v>125</v>
      </c>
      <c r="D18" s="253">
        <v>19</v>
      </c>
      <c r="E18" s="83" t="s">
        <v>16</v>
      </c>
      <c r="F18" s="84" t="s">
        <v>126</v>
      </c>
      <c r="G18" s="84" t="s">
        <v>127</v>
      </c>
      <c r="H18" s="84" t="s">
        <v>77</v>
      </c>
      <c r="I18" s="183" t="s">
        <v>175</v>
      </c>
      <c r="J18" s="105">
        <v>0</v>
      </c>
      <c r="K18" s="106">
        <f>J18*0.85</f>
        <v>0</v>
      </c>
      <c r="L18" s="120" t="e">
        <f t="shared" si="10"/>
        <v>#DIV/0!</v>
      </c>
      <c r="M18" s="108">
        <f t="shared" si="16"/>
        <v>0</v>
      </c>
      <c r="N18" s="121" t="e">
        <f t="shared" si="0"/>
        <v>#DIV/0!</v>
      </c>
      <c r="O18" s="110">
        <f>K18*0.25</f>
        <v>0</v>
      </c>
      <c r="P18" s="108">
        <f>M18*0.25</f>
        <v>0</v>
      </c>
      <c r="Q18" s="111">
        <f t="shared" si="17"/>
        <v>0</v>
      </c>
      <c r="R18" s="112">
        <f>K18*0.25</f>
        <v>0</v>
      </c>
      <c r="S18" s="108">
        <f>M18*0.25</f>
        <v>0</v>
      </c>
      <c r="T18" s="111">
        <f t="shared" si="18"/>
        <v>0</v>
      </c>
      <c r="U18" s="112">
        <f>K18*0.25</f>
        <v>0</v>
      </c>
      <c r="V18" s="108">
        <f>M18*0.25</f>
        <v>0</v>
      </c>
      <c r="W18" s="111">
        <f t="shared" si="19"/>
        <v>0</v>
      </c>
      <c r="X18" s="112">
        <f>K18*0.25</f>
        <v>0</v>
      </c>
      <c r="Y18" s="108">
        <f>M18*0.25</f>
        <v>0</v>
      </c>
      <c r="Z18" s="111">
        <f t="shared" si="20"/>
        <v>0</v>
      </c>
      <c r="AA18" s="112">
        <f t="shared" si="21"/>
        <v>0</v>
      </c>
      <c r="AB18" s="108">
        <f t="shared" si="22"/>
        <v>0</v>
      </c>
      <c r="AC18" s="113">
        <f t="shared" si="23"/>
        <v>0</v>
      </c>
      <c r="AD18" s="381"/>
      <c r="AE18" s="125">
        <v>0</v>
      </c>
      <c r="AF18" s="126">
        <v>0</v>
      </c>
      <c r="AG18" s="126">
        <v>0</v>
      </c>
      <c r="AH18" s="126">
        <v>0</v>
      </c>
      <c r="AI18" s="126">
        <v>0</v>
      </c>
      <c r="AJ18" s="126">
        <v>0</v>
      </c>
      <c r="AK18" s="126">
        <v>0</v>
      </c>
      <c r="AL18" s="127">
        <v>0</v>
      </c>
      <c r="AM18" s="384"/>
      <c r="AN18" s="128">
        <v>0</v>
      </c>
      <c r="AO18" s="129">
        <v>0</v>
      </c>
      <c r="AP18" s="129">
        <v>0</v>
      </c>
      <c r="AQ18" s="129">
        <v>0</v>
      </c>
      <c r="AR18" s="129">
        <v>0</v>
      </c>
      <c r="AS18" s="129">
        <v>0</v>
      </c>
      <c r="AT18" s="129">
        <v>0</v>
      </c>
      <c r="AU18" s="130">
        <v>0</v>
      </c>
      <c r="AV18" s="384"/>
      <c r="AW18" s="131">
        <v>0</v>
      </c>
      <c r="AX18" s="132">
        <v>0</v>
      </c>
      <c r="AY18" s="132">
        <v>0</v>
      </c>
      <c r="AZ18" s="132">
        <v>0</v>
      </c>
      <c r="BA18" s="132">
        <v>0</v>
      </c>
      <c r="BB18" s="132">
        <v>0</v>
      </c>
      <c r="BC18" s="132">
        <v>0</v>
      </c>
      <c r="BD18" s="133">
        <v>0</v>
      </c>
      <c r="BE18" s="386"/>
      <c r="BF18" s="134">
        <f>S18*(1/8)</f>
        <v>0</v>
      </c>
      <c r="BG18" s="135">
        <f>2000000*0.3</f>
        <v>600000</v>
      </c>
      <c r="BH18" s="135">
        <f>2000000*0.2</f>
        <v>400000</v>
      </c>
      <c r="BI18" s="135">
        <f>2000000*0.2</f>
        <v>400000</v>
      </c>
      <c r="BJ18" s="135">
        <f>2000000*0.2</f>
        <v>400000</v>
      </c>
      <c r="BK18" s="135">
        <f>2000000*0.1</f>
        <v>200000</v>
      </c>
      <c r="BL18" s="135">
        <f>S18*(1/8)</f>
        <v>0</v>
      </c>
      <c r="BM18" s="136">
        <f>S18*(1/8)</f>
        <v>0</v>
      </c>
      <c r="BN18" s="1"/>
      <c r="BO18" s="1"/>
      <c r="BP18" s="1"/>
    </row>
    <row r="19" spans="1:68" ht="90" customHeight="1" x14ac:dyDescent="0.25">
      <c r="A19" s="406"/>
      <c r="B19" s="407"/>
      <c r="C19" s="257" t="s">
        <v>115</v>
      </c>
      <c r="D19" s="253">
        <v>10</v>
      </c>
      <c r="E19" s="83" t="s">
        <v>16</v>
      </c>
      <c r="F19" s="84" t="s">
        <v>112</v>
      </c>
      <c r="G19" s="84" t="s">
        <v>176</v>
      </c>
      <c r="H19" s="84" t="s">
        <v>177</v>
      </c>
      <c r="I19" s="183" t="s">
        <v>118</v>
      </c>
      <c r="J19" s="105">
        <v>1250000</v>
      </c>
      <c r="K19" s="106">
        <f>J19*0.85</f>
        <v>1062500</v>
      </c>
      <c r="L19" s="107">
        <f t="shared" si="10"/>
        <v>0.85</v>
      </c>
      <c r="M19" s="108">
        <f t="shared" si="16"/>
        <v>187500</v>
      </c>
      <c r="N19" s="109">
        <f t="shared" si="0"/>
        <v>0.15</v>
      </c>
      <c r="O19" s="110">
        <v>0</v>
      </c>
      <c r="P19" s="108">
        <v>0</v>
      </c>
      <c r="Q19" s="111">
        <f t="shared" si="17"/>
        <v>0</v>
      </c>
      <c r="R19" s="112">
        <f>K19*0.2</f>
        <v>212500</v>
      </c>
      <c r="S19" s="108">
        <f>M19*0.2</f>
        <v>37500</v>
      </c>
      <c r="T19" s="111">
        <f t="shared" si="18"/>
        <v>250000</v>
      </c>
      <c r="U19" s="112">
        <f>K19*0.7</f>
        <v>743750</v>
      </c>
      <c r="V19" s="108">
        <f>M19*0.7</f>
        <v>131250</v>
      </c>
      <c r="W19" s="111">
        <f t="shared" si="19"/>
        <v>875000</v>
      </c>
      <c r="X19" s="112">
        <f>K19*0.1</f>
        <v>106250</v>
      </c>
      <c r="Y19" s="108">
        <f>M19*0.1</f>
        <v>18750</v>
      </c>
      <c r="Z19" s="111">
        <f t="shared" si="20"/>
        <v>125000</v>
      </c>
      <c r="AA19" s="112">
        <f t="shared" si="21"/>
        <v>1062500</v>
      </c>
      <c r="AB19" s="108">
        <f t="shared" si="22"/>
        <v>187500</v>
      </c>
      <c r="AC19" s="113">
        <f t="shared" si="23"/>
        <v>1250000</v>
      </c>
      <c r="AD19" s="381"/>
      <c r="AE19" s="114">
        <v>0</v>
      </c>
      <c r="AF19" s="115">
        <v>0</v>
      </c>
      <c r="AG19" s="115">
        <v>0</v>
      </c>
      <c r="AH19" s="115">
        <v>0</v>
      </c>
      <c r="AI19" s="115">
        <f>J19*0.2</f>
        <v>250000</v>
      </c>
      <c r="AJ19" s="115">
        <f>J19*0.35</f>
        <v>437500</v>
      </c>
      <c r="AK19" s="115">
        <f>J19*0.35</f>
        <v>437500</v>
      </c>
      <c r="AL19" s="113">
        <f>J19*0.1</f>
        <v>125000</v>
      </c>
      <c r="AM19" s="384"/>
      <c r="AN19" s="112">
        <v>0</v>
      </c>
      <c r="AO19" s="116">
        <v>0</v>
      </c>
      <c r="AP19" s="116">
        <v>0</v>
      </c>
      <c r="AQ19" s="116">
        <v>0</v>
      </c>
      <c r="AR19" s="116">
        <f>K19*0.2</f>
        <v>212500</v>
      </c>
      <c r="AS19" s="116">
        <f>K19*0.35</f>
        <v>371875</v>
      </c>
      <c r="AT19" s="116">
        <f>K19*0.35</f>
        <v>371875</v>
      </c>
      <c r="AU19" s="117">
        <f>K19*0.1</f>
        <v>106250</v>
      </c>
      <c r="AV19" s="384"/>
      <c r="AW19" s="118">
        <v>0</v>
      </c>
      <c r="AX19" s="108">
        <v>0</v>
      </c>
      <c r="AY19" s="108">
        <v>0</v>
      </c>
      <c r="AZ19" s="108">
        <v>0</v>
      </c>
      <c r="BA19" s="108">
        <f>M19*0.2</f>
        <v>37500</v>
      </c>
      <c r="BB19" s="108">
        <f>M19*0.35</f>
        <v>65625</v>
      </c>
      <c r="BC19" s="108">
        <f>M19*0.35</f>
        <v>65625</v>
      </c>
      <c r="BD19" s="119">
        <f>M19*0.1</f>
        <v>18750</v>
      </c>
      <c r="BE19" s="386"/>
      <c r="BF19" s="114">
        <v>0</v>
      </c>
      <c r="BG19" s="115">
        <v>0</v>
      </c>
      <c r="BH19" s="115">
        <v>0</v>
      </c>
      <c r="BI19" s="115">
        <v>0</v>
      </c>
      <c r="BJ19" s="115">
        <v>0</v>
      </c>
      <c r="BK19" s="115">
        <v>0</v>
      </c>
      <c r="BL19" s="115">
        <v>0</v>
      </c>
      <c r="BM19" s="113">
        <v>0</v>
      </c>
      <c r="BN19" s="1"/>
      <c r="BO19" s="1"/>
      <c r="BP19" s="1"/>
    </row>
    <row r="20" spans="1:68" ht="147.75" customHeight="1" x14ac:dyDescent="0.25">
      <c r="A20" s="406"/>
      <c r="B20" s="408"/>
      <c r="C20" s="258" t="s">
        <v>119</v>
      </c>
      <c r="D20" s="253">
        <v>17</v>
      </c>
      <c r="E20" s="83" t="s">
        <v>120</v>
      </c>
      <c r="F20" s="84" t="s">
        <v>112</v>
      </c>
      <c r="G20" s="84" t="s">
        <v>121</v>
      </c>
      <c r="H20" s="84" t="s">
        <v>77</v>
      </c>
      <c r="I20" s="183" t="s">
        <v>178</v>
      </c>
      <c r="J20" s="105">
        <v>0</v>
      </c>
      <c r="K20" s="106">
        <v>0</v>
      </c>
      <c r="L20" s="107" t="e">
        <f t="shared" si="10"/>
        <v>#DIV/0!</v>
      </c>
      <c r="M20" s="108">
        <f t="shared" si="16"/>
        <v>0</v>
      </c>
      <c r="N20" s="109" t="e">
        <f t="shared" si="0"/>
        <v>#DIV/0!</v>
      </c>
      <c r="O20" s="110">
        <v>0</v>
      </c>
      <c r="P20" s="108">
        <v>0</v>
      </c>
      <c r="Q20" s="111">
        <f t="shared" si="17"/>
        <v>0</v>
      </c>
      <c r="R20" s="112">
        <v>0</v>
      </c>
      <c r="S20" s="108">
        <v>0</v>
      </c>
      <c r="T20" s="111">
        <f t="shared" si="18"/>
        <v>0</v>
      </c>
      <c r="U20" s="112">
        <v>0</v>
      </c>
      <c r="V20" s="108">
        <v>0</v>
      </c>
      <c r="W20" s="111">
        <f t="shared" si="19"/>
        <v>0</v>
      </c>
      <c r="X20" s="112"/>
      <c r="Y20" s="108">
        <v>0</v>
      </c>
      <c r="Z20" s="111">
        <f t="shared" si="20"/>
        <v>0</v>
      </c>
      <c r="AA20" s="112">
        <f t="shared" si="21"/>
        <v>0</v>
      </c>
      <c r="AB20" s="108">
        <f t="shared" si="22"/>
        <v>0</v>
      </c>
      <c r="AC20" s="113">
        <f t="shared" si="23"/>
        <v>0</v>
      </c>
      <c r="AD20" s="381"/>
      <c r="AE20" s="114">
        <v>0</v>
      </c>
      <c r="AF20" s="115">
        <v>0</v>
      </c>
      <c r="AG20" s="115">
        <v>0</v>
      </c>
      <c r="AH20" s="115">
        <v>0</v>
      </c>
      <c r="AI20" s="115">
        <v>0</v>
      </c>
      <c r="AJ20" s="115">
        <v>0</v>
      </c>
      <c r="AK20" s="115">
        <v>0</v>
      </c>
      <c r="AL20" s="113">
        <v>0</v>
      </c>
      <c r="AM20" s="384"/>
      <c r="AN20" s="112">
        <v>0</v>
      </c>
      <c r="AO20" s="116">
        <v>0</v>
      </c>
      <c r="AP20" s="116">
        <v>0</v>
      </c>
      <c r="AQ20" s="116">
        <v>0</v>
      </c>
      <c r="AR20" s="116">
        <v>0</v>
      </c>
      <c r="AS20" s="116">
        <v>0</v>
      </c>
      <c r="AT20" s="116">
        <v>0</v>
      </c>
      <c r="AU20" s="117">
        <v>0</v>
      </c>
      <c r="AV20" s="384"/>
      <c r="AW20" s="118">
        <v>0</v>
      </c>
      <c r="AX20" s="108">
        <v>0</v>
      </c>
      <c r="AY20" s="108">
        <v>0</v>
      </c>
      <c r="AZ20" s="108">
        <v>0</v>
      </c>
      <c r="BA20" s="108">
        <v>0</v>
      </c>
      <c r="BB20" s="108">
        <v>0</v>
      </c>
      <c r="BC20" s="108">
        <v>0</v>
      </c>
      <c r="BD20" s="119">
        <v>0</v>
      </c>
      <c r="BE20" s="386"/>
      <c r="BF20" s="122">
        <v>0</v>
      </c>
      <c r="BG20" s="123">
        <v>0</v>
      </c>
      <c r="BH20" s="123">
        <v>0</v>
      </c>
      <c r="BI20" s="123">
        <v>0</v>
      </c>
      <c r="BJ20" s="123">
        <f>500000*0.3</f>
        <v>150000</v>
      </c>
      <c r="BK20" s="123">
        <f>500000*0.6</f>
        <v>300000</v>
      </c>
      <c r="BL20" s="123">
        <f>500000*0.1</f>
        <v>50000</v>
      </c>
      <c r="BM20" s="124">
        <v>0</v>
      </c>
      <c r="BN20" s="1"/>
      <c r="BO20" s="1"/>
      <c r="BP20" s="1"/>
    </row>
    <row r="21" spans="1:68" ht="101.25" customHeight="1" x14ac:dyDescent="0.25">
      <c r="A21" s="406"/>
      <c r="B21" s="401" t="s">
        <v>129</v>
      </c>
      <c r="C21" s="409" t="s">
        <v>179</v>
      </c>
      <c r="D21" s="252">
        <v>14</v>
      </c>
      <c r="E21" s="137" t="s">
        <v>131</v>
      </c>
      <c r="F21" s="84" t="s">
        <v>68</v>
      </c>
      <c r="G21" s="138" t="s">
        <v>103</v>
      </c>
      <c r="H21" s="84" t="s">
        <v>180</v>
      </c>
      <c r="I21" s="183" t="s">
        <v>134</v>
      </c>
      <c r="J21" s="105">
        <v>2500000</v>
      </c>
      <c r="K21" s="106">
        <f>J21*0.85</f>
        <v>2125000</v>
      </c>
      <c r="L21" s="107">
        <f t="shared" si="10"/>
        <v>0.85</v>
      </c>
      <c r="M21" s="108">
        <f t="shared" si="16"/>
        <v>375000</v>
      </c>
      <c r="N21" s="109">
        <f t="shared" si="0"/>
        <v>0.15</v>
      </c>
      <c r="O21" s="110">
        <v>0</v>
      </c>
      <c r="P21" s="108">
        <v>0</v>
      </c>
      <c r="Q21" s="111">
        <f t="shared" si="17"/>
        <v>0</v>
      </c>
      <c r="R21" s="112">
        <v>0</v>
      </c>
      <c r="S21" s="108">
        <v>0</v>
      </c>
      <c r="T21" s="111">
        <f t="shared" si="18"/>
        <v>0</v>
      </c>
      <c r="U21" s="112">
        <f>K21*0.7</f>
        <v>1487500</v>
      </c>
      <c r="V21" s="108">
        <f>M21*0.7</f>
        <v>262500</v>
      </c>
      <c r="W21" s="111">
        <f t="shared" si="19"/>
        <v>1750000</v>
      </c>
      <c r="X21" s="112">
        <f>K21*0.3</f>
        <v>637500</v>
      </c>
      <c r="Y21" s="108">
        <f>M21*0.3</f>
        <v>112500</v>
      </c>
      <c r="Z21" s="111">
        <f t="shared" si="20"/>
        <v>750000</v>
      </c>
      <c r="AA21" s="112">
        <f t="shared" si="21"/>
        <v>2125000</v>
      </c>
      <c r="AB21" s="108">
        <f t="shared" si="22"/>
        <v>375000</v>
      </c>
      <c r="AC21" s="113">
        <f t="shared" si="23"/>
        <v>2500000</v>
      </c>
      <c r="AD21" s="381"/>
      <c r="AE21" s="114">
        <v>0</v>
      </c>
      <c r="AF21" s="115">
        <v>0</v>
      </c>
      <c r="AG21" s="115">
        <v>0</v>
      </c>
      <c r="AH21" s="115">
        <v>0</v>
      </c>
      <c r="AI21" s="115">
        <v>0</v>
      </c>
      <c r="AJ21" s="115">
        <f>J21*0.3</f>
        <v>750000</v>
      </c>
      <c r="AK21" s="115">
        <f>J21*0.4</f>
        <v>1000000</v>
      </c>
      <c r="AL21" s="113">
        <f>J21*0.3</f>
        <v>750000</v>
      </c>
      <c r="AM21" s="384"/>
      <c r="AN21" s="112">
        <v>0</v>
      </c>
      <c r="AO21" s="116">
        <v>0</v>
      </c>
      <c r="AP21" s="116">
        <v>0</v>
      </c>
      <c r="AQ21" s="116">
        <v>0</v>
      </c>
      <c r="AR21" s="116">
        <v>0</v>
      </c>
      <c r="AS21" s="116">
        <f>K21*0.3</f>
        <v>637500</v>
      </c>
      <c r="AT21" s="116">
        <f>K21*0.4</f>
        <v>850000</v>
      </c>
      <c r="AU21" s="117">
        <f>K21*0.3</f>
        <v>637500</v>
      </c>
      <c r="AV21" s="384"/>
      <c r="AW21" s="118">
        <v>0</v>
      </c>
      <c r="AX21" s="108">
        <v>0</v>
      </c>
      <c r="AY21" s="108">
        <v>0</v>
      </c>
      <c r="AZ21" s="108">
        <v>0</v>
      </c>
      <c r="BA21" s="108">
        <v>0</v>
      </c>
      <c r="BB21" s="108">
        <f>M21*0.3</f>
        <v>112500</v>
      </c>
      <c r="BC21" s="108">
        <f>M21*0.4</f>
        <v>150000</v>
      </c>
      <c r="BD21" s="119">
        <f>M21*0.3</f>
        <v>112500</v>
      </c>
      <c r="BE21" s="386"/>
      <c r="BF21" s="114">
        <v>0</v>
      </c>
      <c r="BG21" s="115">
        <v>0</v>
      </c>
      <c r="BH21" s="115">
        <v>0</v>
      </c>
      <c r="BI21" s="115">
        <v>0</v>
      </c>
      <c r="BJ21" s="115">
        <v>0</v>
      </c>
      <c r="BK21" s="115">
        <f>S21*0.3</f>
        <v>0</v>
      </c>
      <c r="BL21" s="115">
        <f>S21*0.4</f>
        <v>0</v>
      </c>
      <c r="BM21" s="113">
        <f>S21*0.3</f>
        <v>0</v>
      </c>
      <c r="BN21" s="1"/>
      <c r="BO21" s="1"/>
      <c r="BP21" s="1"/>
    </row>
    <row r="22" spans="1:68" ht="114" customHeight="1" x14ac:dyDescent="0.25">
      <c r="A22" s="406"/>
      <c r="B22" s="401"/>
      <c r="C22" s="409"/>
      <c r="D22" s="255">
        <v>15</v>
      </c>
      <c r="E22" s="264" t="s">
        <v>135</v>
      </c>
      <c r="F22" s="162" t="s">
        <v>112</v>
      </c>
      <c r="G22" s="162" t="s">
        <v>132</v>
      </c>
      <c r="H22" s="162" t="s">
        <v>104</v>
      </c>
      <c r="I22" s="184" t="s">
        <v>136</v>
      </c>
      <c r="J22" s="105">
        <v>250000</v>
      </c>
      <c r="K22" s="106">
        <f>J22*0.85</f>
        <v>212500</v>
      </c>
      <c r="L22" s="107">
        <f t="shared" si="10"/>
        <v>0.85</v>
      </c>
      <c r="M22" s="108">
        <f t="shared" si="16"/>
        <v>37500</v>
      </c>
      <c r="N22" s="109">
        <f t="shared" si="0"/>
        <v>0.15</v>
      </c>
      <c r="O22" s="110">
        <v>0</v>
      </c>
      <c r="P22" s="108">
        <v>0</v>
      </c>
      <c r="Q22" s="111">
        <f t="shared" si="17"/>
        <v>0</v>
      </c>
      <c r="R22" s="112">
        <f>K22*0.55</f>
        <v>116875</v>
      </c>
      <c r="S22" s="108">
        <f>M22*0.55</f>
        <v>20625</v>
      </c>
      <c r="T22" s="111">
        <f t="shared" si="18"/>
        <v>137500</v>
      </c>
      <c r="U22" s="112">
        <f>K22*0.35</f>
        <v>74375</v>
      </c>
      <c r="V22" s="108">
        <f>M22*0.35</f>
        <v>13125</v>
      </c>
      <c r="W22" s="111">
        <f t="shared" si="19"/>
        <v>87500</v>
      </c>
      <c r="X22" s="112">
        <f>K22*0.1</f>
        <v>21250</v>
      </c>
      <c r="Y22" s="108">
        <f>M22*0.1</f>
        <v>3750</v>
      </c>
      <c r="Z22" s="111">
        <f t="shared" si="20"/>
        <v>25000</v>
      </c>
      <c r="AA22" s="112">
        <f t="shared" si="21"/>
        <v>212500</v>
      </c>
      <c r="AB22" s="108">
        <f t="shared" si="22"/>
        <v>37500</v>
      </c>
      <c r="AC22" s="113">
        <f t="shared" si="23"/>
        <v>250000</v>
      </c>
      <c r="AD22" s="381"/>
      <c r="AE22" s="139">
        <v>0</v>
      </c>
      <c r="AF22" s="140">
        <v>0</v>
      </c>
      <c r="AG22" s="140">
        <v>0</v>
      </c>
      <c r="AH22" s="140">
        <v>0</v>
      </c>
      <c r="AI22" s="140">
        <v>0</v>
      </c>
      <c r="AJ22" s="140">
        <f>J22*0.55</f>
        <v>137500</v>
      </c>
      <c r="AK22" s="140">
        <f>J22*0.35</f>
        <v>87500</v>
      </c>
      <c r="AL22" s="141">
        <f>J22*0.1</f>
        <v>25000</v>
      </c>
      <c r="AM22" s="384"/>
      <c r="AN22" s="142">
        <v>0</v>
      </c>
      <c r="AO22" s="143">
        <v>0</v>
      </c>
      <c r="AP22" s="143">
        <v>0</v>
      </c>
      <c r="AQ22" s="143">
        <v>0</v>
      </c>
      <c r="AR22" s="143">
        <v>0</v>
      </c>
      <c r="AS22" s="143">
        <f>K22*0.55</f>
        <v>116875</v>
      </c>
      <c r="AT22" s="143">
        <f>K22*0.35</f>
        <v>74375</v>
      </c>
      <c r="AU22" s="144">
        <f>K22*0.1</f>
        <v>21250</v>
      </c>
      <c r="AV22" s="384"/>
      <c r="AW22" s="145">
        <v>0</v>
      </c>
      <c r="AX22" s="146">
        <v>0</v>
      </c>
      <c r="AY22" s="146">
        <v>0</v>
      </c>
      <c r="AZ22" s="146">
        <v>0</v>
      </c>
      <c r="BA22" s="146">
        <v>0</v>
      </c>
      <c r="BB22" s="146">
        <f>M22*0.55</f>
        <v>20625</v>
      </c>
      <c r="BC22" s="146">
        <f>M22*0.35</f>
        <v>13125</v>
      </c>
      <c r="BD22" s="147">
        <f>M22*0.1</f>
        <v>3750</v>
      </c>
      <c r="BE22" s="386"/>
      <c r="BF22" s="139">
        <v>0</v>
      </c>
      <c r="BG22" s="140">
        <v>0</v>
      </c>
      <c r="BH22" s="140">
        <v>0</v>
      </c>
      <c r="BI22" s="140">
        <v>0</v>
      </c>
      <c r="BJ22" s="140">
        <v>0</v>
      </c>
      <c r="BK22" s="140">
        <v>0</v>
      </c>
      <c r="BL22" s="140">
        <v>0</v>
      </c>
      <c r="BM22" s="141">
        <v>0</v>
      </c>
      <c r="BN22" s="1"/>
      <c r="BO22" s="1"/>
      <c r="BP22" s="1"/>
    </row>
    <row r="23" spans="1:68" ht="25.5" customHeight="1" x14ac:dyDescent="0.25">
      <c r="A23" s="406" t="s">
        <v>137</v>
      </c>
      <c r="B23" s="87"/>
      <c r="C23" s="148"/>
      <c r="D23" s="179"/>
      <c r="E23" s="180"/>
      <c r="F23" s="260"/>
      <c r="G23" s="260"/>
      <c r="H23" s="260"/>
      <c r="I23" s="265"/>
      <c r="J23" s="89">
        <f>SUM(J24:J27)</f>
        <v>2848039</v>
      </c>
      <c r="K23" s="90">
        <f>SUM(K24:K27)</f>
        <v>2420833</v>
      </c>
      <c r="L23" s="91">
        <f t="shared" si="10"/>
        <v>0.85</v>
      </c>
      <c r="M23" s="92">
        <f>SUM(M24:M27)</f>
        <v>427208</v>
      </c>
      <c r="N23" s="93">
        <f t="shared" si="0"/>
        <v>0.15</v>
      </c>
      <c r="O23" s="94">
        <f t="shared" ref="O23:AC23" si="24">SUM(O24:O27)</f>
        <v>647708</v>
      </c>
      <c r="P23" s="92">
        <f t="shared" si="24"/>
        <v>114302</v>
      </c>
      <c r="Q23" s="95">
        <f t="shared" si="24"/>
        <v>762010</v>
      </c>
      <c r="R23" s="96">
        <f t="shared" si="24"/>
        <v>858083</v>
      </c>
      <c r="S23" s="92">
        <f t="shared" si="24"/>
        <v>151427</v>
      </c>
      <c r="T23" s="95">
        <f t="shared" si="24"/>
        <v>1009510</v>
      </c>
      <c r="U23" s="96">
        <f t="shared" si="24"/>
        <v>611583</v>
      </c>
      <c r="V23" s="92">
        <f t="shared" si="24"/>
        <v>107927</v>
      </c>
      <c r="W23" s="95">
        <f t="shared" si="24"/>
        <v>719510</v>
      </c>
      <c r="X23" s="96">
        <f t="shared" si="24"/>
        <v>303458</v>
      </c>
      <c r="Y23" s="92">
        <f t="shared" si="24"/>
        <v>53552</v>
      </c>
      <c r="Z23" s="95">
        <f t="shared" si="24"/>
        <v>357010</v>
      </c>
      <c r="AA23" s="96">
        <f t="shared" si="24"/>
        <v>2420833</v>
      </c>
      <c r="AB23" s="92">
        <f t="shared" si="24"/>
        <v>427208</v>
      </c>
      <c r="AC23" s="97">
        <f t="shared" si="24"/>
        <v>2848041</v>
      </c>
      <c r="AD23" s="380"/>
      <c r="AE23" s="149">
        <f t="shared" ref="AE23:AL23" si="25">SUM(AE24:AE27)</f>
        <v>656005</v>
      </c>
      <c r="AF23" s="150">
        <f t="shared" si="25"/>
        <v>903505</v>
      </c>
      <c r="AG23" s="150">
        <f t="shared" si="25"/>
        <v>613505</v>
      </c>
      <c r="AH23" s="150">
        <f t="shared" si="25"/>
        <v>251005</v>
      </c>
      <c r="AI23" s="150">
        <f t="shared" si="25"/>
        <v>106005</v>
      </c>
      <c r="AJ23" s="150">
        <f t="shared" si="25"/>
        <v>106005</v>
      </c>
      <c r="AK23" s="150">
        <f t="shared" si="25"/>
        <v>106005</v>
      </c>
      <c r="AL23" s="151">
        <f t="shared" si="25"/>
        <v>106005</v>
      </c>
      <c r="AM23" s="384"/>
      <c r="AN23" s="152">
        <f t="shared" ref="AN23:AU23" si="26">SUM(AN24:AN27)</f>
        <v>557604</v>
      </c>
      <c r="AO23" s="153">
        <f t="shared" si="26"/>
        <v>767979</v>
      </c>
      <c r="AP23" s="153">
        <f t="shared" si="26"/>
        <v>521479</v>
      </c>
      <c r="AQ23" s="153">
        <f t="shared" si="26"/>
        <v>213354</v>
      </c>
      <c r="AR23" s="153">
        <f t="shared" si="26"/>
        <v>90103</v>
      </c>
      <c r="AS23" s="153">
        <f t="shared" si="26"/>
        <v>90103</v>
      </c>
      <c r="AT23" s="153">
        <f t="shared" si="26"/>
        <v>90103</v>
      </c>
      <c r="AU23" s="154">
        <f t="shared" si="26"/>
        <v>90109</v>
      </c>
      <c r="AV23" s="384"/>
      <c r="AW23" s="155">
        <f t="shared" ref="AW23:BD23" si="27">SUM(AW24:AW27)</f>
        <v>98401</v>
      </c>
      <c r="AX23" s="156">
        <f t="shared" si="27"/>
        <v>135526</v>
      </c>
      <c r="AY23" s="156">
        <f t="shared" si="27"/>
        <v>92026</v>
      </c>
      <c r="AZ23" s="156">
        <f t="shared" si="27"/>
        <v>37651</v>
      </c>
      <c r="BA23" s="156">
        <f t="shared" si="27"/>
        <v>15901</v>
      </c>
      <c r="BB23" s="156">
        <f t="shared" si="27"/>
        <v>15901</v>
      </c>
      <c r="BC23" s="156">
        <f t="shared" si="27"/>
        <v>15901</v>
      </c>
      <c r="BD23" s="157">
        <f t="shared" si="27"/>
        <v>15905</v>
      </c>
      <c r="BE23" s="386"/>
      <c r="BF23" s="149">
        <f t="shared" ref="BF23:BM23" si="28">SUM(BF24:BF27)</f>
        <v>0</v>
      </c>
      <c r="BG23" s="150">
        <f t="shared" si="28"/>
        <v>0</v>
      </c>
      <c r="BH23" s="150">
        <f t="shared" si="28"/>
        <v>0</v>
      </c>
      <c r="BI23" s="150">
        <f t="shared" si="28"/>
        <v>0</v>
      </c>
      <c r="BJ23" s="150">
        <f t="shared" si="28"/>
        <v>0</v>
      </c>
      <c r="BK23" s="150">
        <f t="shared" si="28"/>
        <v>0</v>
      </c>
      <c r="BL23" s="150">
        <f t="shared" si="28"/>
        <v>0</v>
      </c>
      <c r="BM23" s="151">
        <f t="shared" si="28"/>
        <v>0</v>
      </c>
      <c r="BN23" s="1"/>
      <c r="BO23" s="1"/>
      <c r="BP23" s="1"/>
    </row>
    <row r="24" spans="1:68" s="23" customFormat="1" ht="82.5" customHeight="1" x14ac:dyDescent="0.3">
      <c r="A24" s="406"/>
      <c r="B24" s="401" t="s">
        <v>138</v>
      </c>
      <c r="C24" s="412" t="s">
        <v>139</v>
      </c>
      <c r="D24" s="104">
        <v>2</v>
      </c>
      <c r="E24" s="137" t="s">
        <v>181</v>
      </c>
      <c r="F24" s="271" t="s">
        <v>88</v>
      </c>
      <c r="G24" s="271" t="s">
        <v>140</v>
      </c>
      <c r="H24" s="271" t="s">
        <v>71</v>
      </c>
      <c r="I24" s="266" t="s">
        <v>141</v>
      </c>
      <c r="J24" s="105">
        <v>1450000</v>
      </c>
      <c r="K24" s="158">
        <f>J24*0.85</f>
        <v>1232500</v>
      </c>
      <c r="L24" s="120">
        <f t="shared" si="10"/>
        <v>0.85</v>
      </c>
      <c r="M24" s="159">
        <f>J24*0.15</f>
        <v>217500</v>
      </c>
      <c r="N24" s="121">
        <f t="shared" si="0"/>
        <v>0.15</v>
      </c>
      <c r="O24" s="110">
        <f>K24*0.2</f>
        <v>246500</v>
      </c>
      <c r="P24" s="108">
        <f>M24*0.2</f>
        <v>43500</v>
      </c>
      <c r="Q24" s="111">
        <f>O24+P24</f>
        <v>290000</v>
      </c>
      <c r="R24" s="112">
        <f>K24*0.35</f>
        <v>431375</v>
      </c>
      <c r="S24" s="108">
        <f>M24*0.35</f>
        <v>76125</v>
      </c>
      <c r="T24" s="111">
        <f>R24+S24</f>
        <v>507500</v>
      </c>
      <c r="U24" s="112">
        <f>K24*0.35</f>
        <v>431375</v>
      </c>
      <c r="V24" s="108">
        <f>M24*0.35</f>
        <v>76125</v>
      </c>
      <c r="W24" s="111">
        <f>U24+V24</f>
        <v>507500</v>
      </c>
      <c r="X24" s="112">
        <f>K24*0.1</f>
        <v>123250</v>
      </c>
      <c r="Y24" s="108">
        <f>M24*0.1</f>
        <v>21750</v>
      </c>
      <c r="Z24" s="111">
        <f>X24+Y24</f>
        <v>145000</v>
      </c>
      <c r="AA24" s="112">
        <f t="shared" ref="AA24:AB26" si="29">O24+R24+U24+X24</f>
        <v>1232500</v>
      </c>
      <c r="AB24" s="108">
        <f t="shared" si="29"/>
        <v>217500</v>
      </c>
      <c r="AC24" s="113">
        <f>AA24+AB24</f>
        <v>1450000</v>
      </c>
      <c r="AD24" s="381"/>
      <c r="AE24" s="114">
        <f>J24*0.2</f>
        <v>290000</v>
      </c>
      <c r="AF24" s="115">
        <f>J24*0.35</f>
        <v>507500</v>
      </c>
      <c r="AG24" s="115">
        <f>J24*0.35</f>
        <v>507500</v>
      </c>
      <c r="AH24" s="115">
        <f>J24*0.1</f>
        <v>145000</v>
      </c>
      <c r="AI24" s="115">
        <v>0</v>
      </c>
      <c r="AJ24" s="115">
        <v>0</v>
      </c>
      <c r="AK24" s="115">
        <v>0</v>
      </c>
      <c r="AL24" s="113">
        <v>0</v>
      </c>
      <c r="AM24" s="384"/>
      <c r="AN24" s="112">
        <f>K24*0.2</f>
        <v>246500</v>
      </c>
      <c r="AO24" s="116">
        <f>K24*0.35</f>
        <v>431375</v>
      </c>
      <c r="AP24" s="116">
        <f>K24*0.35</f>
        <v>431375</v>
      </c>
      <c r="AQ24" s="116">
        <f>K24*0.1</f>
        <v>123250</v>
      </c>
      <c r="AR24" s="116">
        <v>0</v>
      </c>
      <c r="AS24" s="116">
        <v>0</v>
      </c>
      <c r="AT24" s="116">
        <v>0</v>
      </c>
      <c r="AU24" s="117">
        <v>0</v>
      </c>
      <c r="AV24" s="384"/>
      <c r="AW24" s="118">
        <f>M24*0.2</f>
        <v>43500</v>
      </c>
      <c r="AX24" s="108">
        <f>M24*0.35</f>
        <v>76125</v>
      </c>
      <c r="AY24" s="108">
        <f>M24*0.35</f>
        <v>76125</v>
      </c>
      <c r="AZ24" s="108">
        <f>M24*0.1</f>
        <v>21750</v>
      </c>
      <c r="BA24" s="108">
        <v>0</v>
      </c>
      <c r="BB24" s="108">
        <v>0</v>
      </c>
      <c r="BC24" s="108">
        <v>0</v>
      </c>
      <c r="BD24" s="119">
        <v>0</v>
      </c>
      <c r="BE24" s="386"/>
      <c r="BF24" s="114">
        <v>0</v>
      </c>
      <c r="BG24" s="115">
        <v>0</v>
      </c>
      <c r="BH24" s="115">
        <v>0</v>
      </c>
      <c r="BI24" s="115">
        <v>0</v>
      </c>
      <c r="BJ24" s="115">
        <v>0</v>
      </c>
      <c r="BK24" s="115">
        <v>0</v>
      </c>
      <c r="BL24" s="115">
        <v>0</v>
      </c>
      <c r="BM24" s="113">
        <v>0</v>
      </c>
      <c r="BN24" s="22"/>
      <c r="BO24" s="22"/>
      <c r="BP24" s="22"/>
    </row>
    <row r="25" spans="1:68" ht="57.75" customHeight="1" x14ac:dyDescent="0.25">
      <c r="A25" s="406"/>
      <c r="B25" s="401"/>
      <c r="C25" s="412"/>
      <c r="D25" s="104">
        <v>8</v>
      </c>
      <c r="E25" s="137" t="s">
        <v>143</v>
      </c>
      <c r="F25" s="271" t="s">
        <v>140</v>
      </c>
      <c r="G25" s="271" t="s">
        <v>144</v>
      </c>
      <c r="H25" s="271" t="s">
        <v>145</v>
      </c>
      <c r="I25" s="267" t="s">
        <v>146</v>
      </c>
      <c r="J25" s="105">
        <v>100000</v>
      </c>
      <c r="K25" s="106">
        <f>J25*0.85</f>
        <v>85000</v>
      </c>
      <c r="L25" s="120">
        <f t="shared" si="10"/>
        <v>0.85</v>
      </c>
      <c r="M25" s="108">
        <f>J25*0.15</f>
        <v>15000</v>
      </c>
      <c r="N25" s="121">
        <f t="shared" si="0"/>
        <v>0.15</v>
      </c>
      <c r="O25" s="110">
        <f>K25*0.8</f>
        <v>68000</v>
      </c>
      <c r="P25" s="108">
        <f>M25*0.8</f>
        <v>12000</v>
      </c>
      <c r="Q25" s="111">
        <f>O25+P25</f>
        <v>80000</v>
      </c>
      <c r="R25" s="112">
        <f>K25*0.2</f>
        <v>17000</v>
      </c>
      <c r="S25" s="108">
        <f>M25*0.2</f>
        <v>3000</v>
      </c>
      <c r="T25" s="111">
        <f>R25+S25</f>
        <v>20000</v>
      </c>
      <c r="U25" s="112">
        <v>0</v>
      </c>
      <c r="V25" s="108">
        <v>0</v>
      </c>
      <c r="W25" s="111">
        <f>U25+V25</f>
        <v>0</v>
      </c>
      <c r="X25" s="112">
        <v>0</v>
      </c>
      <c r="Y25" s="108">
        <v>0</v>
      </c>
      <c r="Z25" s="111">
        <f>X25+Y25</f>
        <v>0</v>
      </c>
      <c r="AA25" s="112">
        <f t="shared" si="29"/>
        <v>85000</v>
      </c>
      <c r="AB25" s="108">
        <f t="shared" si="29"/>
        <v>15000</v>
      </c>
      <c r="AC25" s="113">
        <f>AA25+AB25</f>
        <v>100000</v>
      </c>
      <c r="AD25" s="381"/>
      <c r="AE25" s="114">
        <f>J25*0.8</f>
        <v>80000</v>
      </c>
      <c r="AF25" s="115">
        <f>J25*0.2</f>
        <v>20000</v>
      </c>
      <c r="AG25" s="115">
        <v>0</v>
      </c>
      <c r="AH25" s="115">
        <v>0</v>
      </c>
      <c r="AI25" s="115">
        <v>0</v>
      </c>
      <c r="AJ25" s="115">
        <v>0</v>
      </c>
      <c r="AK25" s="115">
        <v>0</v>
      </c>
      <c r="AL25" s="113">
        <v>0</v>
      </c>
      <c r="AM25" s="384"/>
      <c r="AN25" s="112">
        <f>K25*0.8</f>
        <v>68000</v>
      </c>
      <c r="AO25" s="116">
        <f>K25*0.2</f>
        <v>17000</v>
      </c>
      <c r="AP25" s="116">
        <v>0</v>
      </c>
      <c r="AQ25" s="116">
        <v>0</v>
      </c>
      <c r="AR25" s="116">
        <v>0</v>
      </c>
      <c r="AS25" s="116">
        <v>0</v>
      </c>
      <c r="AT25" s="116">
        <v>0</v>
      </c>
      <c r="AU25" s="117">
        <v>0</v>
      </c>
      <c r="AV25" s="384"/>
      <c r="AW25" s="118">
        <f>M25*0.8</f>
        <v>12000</v>
      </c>
      <c r="AX25" s="108">
        <f>M25*0.2</f>
        <v>3000</v>
      </c>
      <c r="AY25" s="108">
        <v>0</v>
      </c>
      <c r="AZ25" s="108">
        <v>0</v>
      </c>
      <c r="BA25" s="108">
        <v>0</v>
      </c>
      <c r="BB25" s="108">
        <v>0</v>
      </c>
      <c r="BC25" s="108">
        <v>0</v>
      </c>
      <c r="BD25" s="119">
        <v>0</v>
      </c>
      <c r="BE25" s="386"/>
      <c r="BF25" s="114">
        <v>0</v>
      </c>
      <c r="BG25" s="115">
        <v>0</v>
      </c>
      <c r="BH25" s="115">
        <v>0</v>
      </c>
      <c r="BI25" s="115">
        <v>0</v>
      </c>
      <c r="BJ25" s="115">
        <v>0</v>
      </c>
      <c r="BK25" s="115">
        <v>0</v>
      </c>
      <c r="BL25" s="115">
        <v>0</v>
      </c>
      <c r="BM25" s="113">
        <v>0</v>
      </c>
      <c r="BN25" s="1"/>
      <c r="BO25" s="1"/>
      <c r="BP25" s="1"/>
    </row>
    <row r="26" spans="1:68" ht="52.5" customHeight="1" x14ac:dyDescent="0.25">
      <c r="A26" s="406"/>
      <c r="B26" s="401"/>
      <c r="C26" s="412"/>
      <c r="D26" s="104">
        <v>5</v>
      </c>
      <c r="E26" s="83" t="s">
        <v>148</v>
      </c>
      <c r="F26" s="271" t="s">
        <v>140</v>
      </c>
      <c r="G26" s="271" t="s">
        <v>144</v>
      </c>
      <c r="H26" s="271" t="s">
        <v>145</v>
      </c>
      <c r="I26" s="267" t="s">
        <v>150</v>
      </c>
      <c r="J26" s="105">
        <v>450000</v>
      </c>
      <c r="K26" s="106">
        <f>J26*0.85</f>
        <v>382500</v>
      </c>
      <c r="L26" s="120">
        <f t="shared" si="10"/>
        <v>0.85</v>
      </c>
      <c r="M26" s="108">
        <f>J26*0.15</f>
        <v>67500</v>
      </c>
      <c r="N26" s="121">
        <f t="shared" si="0"/>
        <v>0.15</v>
      </c>
      <c r="O26" s="110">
        <f>K26*0.4</f>
        <v>153000</v>
      </c>
      <c r="P26" s="108">
        <f>M26*0.4</f>
        <v>27000</v>
      </c>
      <c r="Q26" s="111">
        <f>O26+P26</f>
        <v>180000</v>
      </c>
      <c r="R26" s="112">
        <f>K26*0.6</f>
        <v>229500</v>
      </c>
      <c r="S26" s="108">
        <f>M26*0.6</f>
        <v>40500</v>
      </c>
      <c r="T26" s="111">
        <f>R26+S26</f>
        <v>270000</v>
      </c>
      <c r="U26" s="112">
        <v>0</v>
      </c>
      <c r="V26" s="108">
        <v>0</v>
      </c>
      <c r="W26" s="111">
        <f>U26+V26</f>
        <v>0</v>
      </c>
      <c r="X26" s="112">
        <v>0</v>
      </c>
      <c r="Y26" s="108">
        <v>0</v>
      </c>
      <c r="Z26" s="111">
        <f>X26+Y26</f>
        <v>0</v>
      </c>
      <c r="AA26" s="112">
        <f t="shared" si="29"/>
        <v>382500</v>
      </c>
      <c r="AB26" s="108">
        <f t="shared" si="29"/>
        <v>67500</v>
      </c>
      <c r="AC26" s="113">
        <f>AA26+AB26</f>
        <v>450000</v>
      </c>
      <c r="AD26" s="381"/>
      <c r="AE26" s="114">
        <f>J26*0.4</f>
        <v>180000</v>
      </c>
      <c r="AF26" s="115">
        <f>J26*0.6</f>
        <v>270000</v>
      </c>
      <c r="AG26" s="115">
        <v>0</v>
      </c>
      <c r="AH26" s="115">
        <v>0</v>
      </c>
      <c r="AI26" s="115">
        <v>0</v>
      </c>
      <c r="AJ26" s="115">
        <v>0</v>
      </c>
      <c r="AK26" s="115">
        <v>0</v>
      </c>
      <c r="AL26" s="113">
        <v>0</v>
      </c>
      <c r="AM26" s="384"/>
      <c r="AN26" s="112">
        <f>K26*0.4</f>
        <v>153000</v>
      </c>
      <c r="AO26" s="116">
        <f>K26*0.6</f>
        <v>229500</v>
      </c>
      <c r="AP26" s="116">
        <v>0</v>
      </c>
      <c r="AQ26" s="116">
        <v>0</v>
      </c>
      <c r="AR26" s="116">
        <v>0</v>
      </c>
      <c r="AS26" s="116">
        <v>0</v>
      </c>
      <c r="AT26" s="116">
        <v>0</v>
      </c>
      <c r="AU26" s="117">
        <v>0</v>
      </c>
      <c r="AV26" s="384"/>
      <c r="AW26" s="118">
        <f>M26*0.4</f>
        <v>27000</v>
      </c>
      <c r="AX26" s="108">
        <f>M26*0.6</f>
        <v>40500</v>
      </c>
      <c r="AY26" s="108">
        <v>0</v>
      </c>
      <c r="AZ26" s="108">
        <v>0</v>
      </c>
      <c r="BA26" s="108">
        <v>0</v>
      </c>
      <c r="BB26" s="108">
        <v>0</v>
      </c>
      <c r="BC26" s="108">
        <v>0</v>
      </c>
      <c r="BD26" s="119">
        <v>0</v>
      </c>
      <c r="BE26" s="386"/>
      <c r="BF26" s="114">
        <v>0</v>
      </c>
      <c r="BG26" s="115">
        <v>0</v>
      </c>
      <c r="BH26" s="115">
        <v>0</v>
      </c>
      <c r="BI26" s="115">
        <v>0</v>
      </c>
      <c r="BJ26" s="115">
        <v>0</v>
      </c>
      <c r="BK26" s="115">
        <v>0</v>
      </c>
      <c r="BL26" s="115">
        <v>0</v>
      </c>
      <c r="BM26" s="113">
        <v>0</v>
      </c>
      <c r="BN26" s="1"/>
      <c r="BO26" s="1"/>
      <c r="BP26" s="1"/>
    </row>
    <row r="27" spans="1:68" ht="48.75" customHeight="1" x14ac:dyDescent="0.25">
      <c r="A27" s="410"/>
      <c r="B27" s="411"/>
      <c r="C27" s="413"/>
      <c r="D27" s="160">
        <v>3</v>
      </c>
      <c r="E27" s="161" t="s">
        <v>182</v>
      </c>
      <c r="F27" s="271" t="s">
        <v>153</v>
      </c>
      <c r="G27" s="271" t="s">
        <v>89</v>
      </c>
      <c r="H27" s="271" t="s">
        <v>154</v>
      </c>
      <c r="I27" s="268" t="s">
        <v>155</v>
      </c>
      <c r="J27" s="105">
        <v>848039</v>
      </c>
      <c r="K27" s="106">
        <f>J27*0.85</f>
        <v>720833</v>
      </c>
      <c r="L27" s="120">
        <f t="shared" si="10"/>
        <v>0.85</v>
      </c>
      <c r="M27" s="108">
        <f>J27*0.15+2</f>
        <v>127208</v>
      </c>
      <c r="N27" s="121">
        <f t="shared" si="0"/>
        <v>0.15</v>
      </c>
      <c r="O27" s="110">
        <f>K27*0.25</f>
        <v>180208</v>
      </c>
      <c r="P27" s="108">
        <f>M27*0.25</f>
        <v>31802</v>
      </c>
      <c r="Q27" s="111">
        <f>O27+P27</f>
        <v>212010</v>
      </c>
      <c r="R27" s="112">
        <f>K27*0.25</f>
        <v>180208</v>
      </c>
      <c r="S27" s="108">
        <f>M27*0.25</f>
        <v>31802</v>
      </c>
      <c r="T27" s="111">
        <f>R27+S27</f>
        <v>212010</v>
      </c>
      <c r="U27" s="112">
        <f>K27*0.25</f>
        <v>180208</v>
      </c>
      <c r="V27" s="108">
        <f>M27*0.25</f>
        <v>31802</v>
      </c>
      <c r="W27" s="111">
        <f>U27+V27</f>
        <v>212010</v>
      </c>
      <c r="X27" s="112">
        <f>K27*0.25</f>
        <v>180208</v>
      </c>
      <c r="Y27" s="108">
        <f>M27*0.25</f>
        <v>31802</v>
      </c>
      <c r="Z27" s="111">
        <f>X27+Y27</f>
        <v>212010</v>
      </c>
      <c r="AA27" s="112">
        <f>O27+R27+U27+X27+1</f>
        <v>720833</v>
      </c>
      <c r="AB27" s="108">
        <f>P27+S27+V27+Y27</f>
        <v>127208</v>
      </c>
      <c r="AC27" s="113">
        <f>AA27+AB27</f>
        <v>848041</v>
      </c>
      <c r="AD27" s="381"/>
      <c r="AE27" s="114">
        <f>J27*(1/8)</f>
        <v>106005</v>
      </c>
      <c r="AF27" s="115">
        <f>J27*(1/8)</f>
        <v>106005</v>
      </c>
      <c r="AG27" s="115">
        <f>J27*(1/8)</f>
        <v>106005</v>
      </c>
      <c r="AH27" s="115">
        <f>J27*(1/8)</f>
        <v>106005</v>
      </c>
      <c r="AI27" s="115">
        <f>J27*(1/8)</f>
        <v>106005</v>
      </c>
      <c r="AJ27" s="115">
        <f>J27*(1/8)</f>
        <v>106005</v>
      </c>
      <c r="AK27" s="115">
        <f>J27*(1/8)</f>
        <v>106005</v>
      </c>
      <c r="AL27" s="113">
        <f>J27*(1/8)</f>
        <v>106005</v>
      </c>
      <c r="AM27" s="384"/>
      <c r="AN27" s="112">
        <f>K27*(1/8)</f>
        <v>90104</v>
      </c>
      <c r="AO27" s="116">
        <f>K27*(1/8)</f>
        <v>90104</v>
      </c>
      <c r="AP27" s="116">
        <f>K27*(1/8)</f>
        <v>90104</v>
      </c>
      <c r="AQ27" s="116">
        <f>K27*(1/8)</f>
        <v>90104</v>
      </c>
      <c r="AR27" s="116">
        <f>K27*(1/8.000075)</f>
        <v>90103</v>
      </c>
      <c r="AS27" s="116">
        <f>K27*(1/8.000075)</f>
        <v>90103</v>
      </c>
      <c r="AT27" s="116">
        <f>K27*(1/8.000075)</f>
        <v>90103</v>
      </c>
      <c r="AU27" s="117">
        <f>K27*(1/8.000075)+6</f>
        <v>90109</v>
      </c>
      <c r="AV27" s="384"/>
      <c r="AW27" s="118">
        <f>M27*(1/8)</f>
        <v>15901</v>
      </c>
      <c r="AX27" s="108">
        <f>M27*(1/8)</f>
        <v>15901</v>
      </c>
      <c r="AY27" s="108">
        <f>M27*(1/8)</f>
        <v>15901</v>
      </c>
      <c r="AZ27" s="108">
        <f>M27*(1/8)</f>
        <v>15901</v>
      </c>
      <c r="BA27" s="108">
        <f>M27*(1/8)</f>
        <v>15901</v>
      </c>
      <c r="BB27" s="108">
        <f>M27*(1/8)</f>
        <v>15901</v>
      </c>
      <c r="BC27" s="108">
        <f>M27*(1/8)</f>
        <v>15901</v>
      </c>
      <c r="BD27" s="119">
        <f>M27*(1/8)+4</f>
        <v>15905</v>
      </c>
      <c r="BE27" s="386"/>
      <c r="BF27" s="114">
        <v>0</v>
      </c>
      <c r="BG27" s="115">
        <v>0</v>
      </c>
      <c r="BH27" s="115">
        <v>0</v>
      </c>
      <c r="BI27" s="115">
        <v>0</v>
      </c>
      <c r="BJ27" s="115">
        <v>0</v>
      </c>
      <c r="BK27" s="115">
        <v>0</v>
      </c>
      <c r="BL27" s="115">
        <v>0</v>
      </c>
      <c r="BM27" s="113">
        <v>0</v>
      </c>
      <c r="BN27" s="1"/>
      <c r="BO27" s="1"/>
      <c r="BP27" s="1"/>
    </row>
    <row r="28" spans="1:68" ht="24.75" customHeight="1" x14ac:dyDescent="0.25">
      <c r="A28" s="414" t="s">
        <v>24</v>
      </c>
      <c r="B28" s="415"/>
      <c r="C28" s="416"/>
      <c r="D28" s="417"/>
      <c r="E28" s="418"/>
      <c r="F28" s="419"/>
      <c r="G28" s="419"/>
      <c r="H28" s="419"/>
      <c r="I28" s="420"/>
      <c r="J28" s="163">
        <f>J6+J13+J23+2</f>
        <v>49668041</v>
      </c>
      <c r="K28" s="164">
        <f>K6+K13+K23</f>
        <v>40000000</v>
      </c>
      <c r="L28" s="165">
        <f t="shared" si="10"/>
        <v>0.80530000000000002</v>
      </c>
      <c r="M28" s="164">
        <f>M6+M13+M23</f>
        <v>9668041</v>
      </c>
      <c r="N28" s="166">
        <f t="shared" si="0"/>
        <v>0.19470000000000001</v>
      </c>
      <c r="O28" s="163">
        <f>O6+O13+O23+1</f>
        <v>6500000</v>
      </c>
      <c r="P28" s="164">
        <f t="shared" ref="P28:W28" si="30">P6+P13+P23</f>
        <v>1521652</v>
      </c>
      <c r="Q28" s="167">
        <f t="shared" si="30"/>
        <v>8021651</v>
      </c>
      <c r="R28" s="168">
        <f t="shared" si="30"/>
        <v>9246257</v>
      </c>
      <c r="S28" s="164">
        <f t="shared" si="30"/>
        <v>2372081</v>
      </c>
      <c r="T28" s="167">
        <f t="shared" si="30"/>
        <v>11618338</v>
      </c>
      <c r="U28" s="168">
        <f t="shared" si="30"/>
        <v>14008382</v>
      </c>
      <c r="V28" s="164">
        <f t="shared" si="30"/>
        <v>3212456</v>
      </c>
      <c r="W28" s="167">
        <f t="shared" si="30"/>
        <v>17220838</v>
      </c>
      <c r="X28" s="168">
        <f>X6+X13+X23-1</f>
        <v>10245360</v>
      </c>
      <c r="Y28" s="164">
        <f>Y6+Y13+Y23</f>
        <v>2486851</v>
      </c>
      <c r="Z28" s="167">
        <f>Z6+Z13+Z23</f>
        <v>12732212</v>
      </c>
      <c r="AA28" s="168">
        <f>AA6+AA13+AA23-1</f>
        <v>39999999</v>
      </c>
      <c r="AB28" s="164">
        <f>AB6+AB13+AB23</f>
        <v>9593040</v>
      </c>
      <c r="AC28" s="169">
        <f>AC6+AC13+AC23</f>
        <v>49593040</v>
      </c>
      <c r="AD28" s="382"/>
      <c r="AE28" s="170">
        <f t="shared" ref="AE28:AL28" si="31">AE6+AE13+AE23</f>
        <v>656005</v>
      </c>
      <c r="AF28" s="171">
        <f t="shared" si="31"/>
        <v>2187505</v>
      </c>
      <c r="AG28" s="171">
        <f t="shared" si="31"/>
        <v>7535505</v>
      </c>
      <c r="AH28" s="171">
        <f t="shared" si="31"/>
        <v>7379255</v>
      </c>
      <c r="AI28" s="171">
        <f t="shared" si="31"/>
        <v>7401755</v>
      </c>
      <c r="AJ28" s="171">
        <f t="shared" si="31"/>
        <v>9257255</v>
      </c>
      <c r="AK28" s="171">
        <f t="shared" si="31"/>
        <v>8829755</v>
      </c>
      <c r="AL28" s="172">
        <f t="shared" si="31"/>
        <v>6421005</v>
      </c>
      <c r="AM28" s="384"/>
      <c r="AN28" s="170">
        <f t="shared" ref="AN28:AU28" si="32">AN6+AN13+AN23</f>
        <v>557604</v>
      </c>
      <c r="AO28" s="171">
        <f t="shared" si="32"/>
        <v>1779979</v>
      </c>
      <c r="AP28" s="171">
        <f t="shared" si="32"/>
        <v>5902062</v>
      </c>
      <c r="AQ28" s="171">
        <f t="shared" si="32"/>
        <v>5814771</v>
      </c>
      <c r="AR28" s="171">
        <f t="shared" si="32"/>
        <v>5933145</v>
      </c>
      <c r="AS28" s="171">
        <f t="shared" si="32"/>
        <v>7550020</v>
      </c>
      <c r="AT28" s="171">
        <f t="shared" si="32"/>
        <v>7186645</v>
      </c>
      <c r="AU28" s="172">
        <f t="shared" si="32"/>
        <v>5275776</v>
      </c>
      <c r="AV28" s="384"/>
      <c r="AW28" s="170">
        <f t="shared" ref="AW28:BD28" si="33">AW6+AW13+AW23</f>
        <v>98401</v>
      </c>
      <c r="AX28" s="171">
        <f t="shared" si="33"/>
        <v>407526</v>
      </c>
      <c r="AY28" s="171">
        <f t="shared" si="33"/>
        <v>1633443</v>
      </c>
      <c r="AZ28" s="171">
        <f t="shared" si="33"/>
        <v>1564484</v>
      </c>
      <c r="BA28" s="171">
        <f t="shared" si="33"/>
        <v>1468609</v>
      </c>
      <c r="BB28" s="171">
        <f t="shared" si="33"/>
        <v>1707234</v>
      </c>
      <c r="BC28" s="171">
        <f t="shared" si="33"/>
        <v>1643109</v>
      </c>
      <c r="BD28" s="172">
        <f t="shared" si="33"/>
        <v>1145238</v>
      </c>
      <c r="BE28" s="386"/>
      <c r="BF28" s="170">
        <f t="shared" ref="BF28:BM28" si="34">BF6+BF13+BF23</f>
        <v>0</v>
      </c>
      <c r="BG28" s="171">
        <f t="shared" si="34"/>
        <v>600000</v>
      </c>
      <c r="BH28" s="171">
        <f t="shared" si="34"/>
        <v>400000</v>
      </c>
      <c r="BI28" s="171">
        <f t="shared" si="34"/>
        <v>700000</v>
      </c>
      <c r="BJ28" s="171">
        <f t="shared" si="34"/>
        <v>1150000</v>
      </c>
      <c r="BK28" s="171">
        <f t="shared" si="34"/>
        <v>600000</v>
      </c>
      <c r="BL28" s="171">
        <f t="shared" si="34"/>
        <v>50000</v>
      </c>
      <c r="BM28" s="172">
        <f t="shared" si="34"/>
        <v>0</v>
      </c>
      <c r="BN28" s="1"/>
      <c r="BO28" s="1"/>
      <c r="BP28" s="1"/>
    </row>
    <row r="29" spans="1:68" ht="16.75" customHeight="1" x14ac:dyDescent="0.25">
      <c r="A29" s="25"/>
      <c r="B29" s="25"/>
      <c r="C29" s="25"/>
      <c r="D29" s="22"/>
      <c r="E29" s="1"/>
      <c r="F29" s="1"/>
      <c r="G29" s="1"/>
      <c r="H29" s="1"/>
      <c r="I29" s="26"/>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row>
    <row r="30" spans="1:68" x14ac:dyDescent="0.25">
      <c r="A30" s="1"/>
      <c r="B30" s="1"/>
      <c r="C30" s="1"/>
      <c r="D30" s="20"/>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row>
    <row r="31" spans="1:68" x14ac:dyDescent="0.25">
      <c r="A31" s="1"/>
      <c r="B31" s="1"/>
      <c r="C31" s="1"/>
      <c r="D31" s="20"/>
      <c r="E31" s="1"/>
      <c r="F31" s="1"/>
      <c r="G31" s="1"/>
      <c r="H31" s="1"/>
      <c r="I31" s="1"/>
      <c r="J31" s="1"/>
      <c r="K31" s="1"/>
      <c r="L31" s="1"/>
      <c r="M31" s="1"/>
      <c r="N31" s="1"/>
      <c r="O31" s="7"/>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row>
    <row r="32" spans="1:68" x14ac:dyDescent="0.25">
      <c r="A32" s="1"/>
      <c r="B32" s="1"/>
      <c r="C32" s="1"/>
      <c r="D32" s="20"/>
      <c r="E32" s="1"/>
      <c r="F32" s="1"/>
      <c r="G32" s="1"/>
      <c r="H32" s="1"/>
      <c r="I32" s="1"/>
      <c r="J32" s="1"/>
      <c r="K32" s="9"/>
      <c r="L32" s="9"/>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row>
    <row r="33" spans="1:68" x14ac:dyDescent="0.25">
      <c r="A33" s="1"/>
      <c r="B33" s="1"/>
      <c r="C33" s="1"/>
      <c r="D33" s="20"/>
      <c r="E33" s="1"/>
      <c r="F33" s="1"/>
      <c r="G33" s="1"/>
      <c r="H33" s="1"/>
      <c r="I33" s="1"/>
      <c r="J33" s="1"/>
      <c r="K33" s="9"/>
      <c r="L33" s="9"/>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row>
    <row r="34" spans="1:68" x14ac:dyDescent="0.25">
      <c r="A34" s="1"/>
      <c r="B34" s="1"/>
      <c r="C34" s="1"/>
      <c r="D34" s="20"/>
      <c r="E34" s="1"/>
      <c r="F34" s="1"/>
      <c r="G34" s="1"/>
      <c r="H34" s="1"/>
      <c r="I34" s="1"/>
      <c r="J34" s="1"/>
      <c r="K34" s="9">
        <v>0.85836909871244615</v>
      </c>
      <c r="L34" s="9"/>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row>
    <row r="35" spans="1:68" x14ac:dyDescent="0.25">
      <c r="A35" s="1"/>
      <c r="B35" s="1"/>
      <c r="C35" s="1"/>
      <c r="D35" s="20"/>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row>
    <row r="36" spans="1:68" x14ac:dyDescent="0.25">
      <c r="A36" s="1"/>
      <c r="B36" s="1"/>
      <c r="C36" s="1"/>
      <c r="D36" s="20"/>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row>
    <row r="37" spans="1:68" x14ac:dyDescent="0.25">
      <c r="A37" s="1"/>
      <c r="B37" s="1"/>
      <c r="C37" s="1"/>
      <c r="D37" s="20"/>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row>
    <row r="38" spans="1:68" x14ac:dyDescent="0.25">
      <c r="A38" s="1"/>
      <c r="B38" s="1"/>
      <c r="C38" s="1"/>
      <c r="D38" s="20"/>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row>
    <row r="39" spans="1:68" x14ac:dyDescent="0.25">
      <c r="A39" s="1"/>
      <c r="B39" s="1"/>
      <c r="C39" s="1"/>
      <c r="D39" s="20"/>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row>
    <row r="40" spans="1:68" x14ac:dyDescent="0.25">
      <c r="A40" s="1"/>
      <c r="B40" s="1"/>
      <c r="C40" s="1"/>
      <c r="D40" s="20"/>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row>
    <row r="41" spans="1:68" x14ac:dyDescent="0.25">
      <c r="A41" s="1"/>
      <c r="B41" s="1"/>
      <c r="C41" s="1"/>
      <c r="D41" s="20"/>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row>
    <row r="42" spans="1:68" x14ac:dyDescent="0.25">
      <c r="A42" s="1"/>
      <c r="B42" s="1"/>
      <c r="C42" s="1"/>
      <c r="D42" s="20"/>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row>
    <row r="43" spans="1:68" x14ac:dyDescent="0.25">
      <c r="A43" s="1"/>
      <c r="B43" s="1"/>
      <c r="C43" s="1"/>
      <c r="D43" s="20"/>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row>
    <row r="44" spans="1:68" x14ac:dyDescent="0.25">
      <c r="A44" s="1"/>
      <c r="B44" s="1"/>
      <c r="C44" s="1"/>
      <c r="D44" s="20"/>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x14ac:dyDescent="0.25">
      <c r="A45" s="1"/>
      <c r="B45" s="1"/>
      <c r="C45" s="1"/>
      <c r="D45" s="20"/>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x14ac:dyDescent="0.25">
      <c r="A46" s="1"/>
      <c r="B46" s="1"/>
      <c r="C46" s="1"/>
      <c r="D46" s="20"/>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row>
    <row r="47" spans="1:68" x14ac:dyDescent="0.25">
      <c r="A47" s="1"/>
      <c r="B47" s="1"/>
      <c r="C47" s="1"/>
      <c r="D47" s="20"/>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row>
    <row r="48" spans="1:68" x14ac:dyDescent="0.25">
      <c r="A48" s="1"/>
      <c r="B48" s="1"/>
      <c r="C48" s="1"/>
      <c r="D48" s="20"/>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row>
    <row r="49" spans="1:68" x14ac:dyDescent="0.25">
      <c r="A49" s="1"/>
      <c r="B49" s="1"/>
      <c r="C49" s="1"/>
      <c r="D49" s="20"/>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row r="50" spans="1:68" x14ac:dyDescent="0.25">
      <c r="A50" s="1"/>
      <c r="B50" s="1"/>
      <c r="C50" s="1"/>
      <c r="D50" s="20"/>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row>
    <row r="51" spans="1:68" x14ac:dyDescent="0.25">
      <c r="A51" s="1"/>
      <c r="B51" s="1"/>
      <c r="C51" s="1"/>
      <c r="D51" s="20"/>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row>
    <row r="52" spans="1:68" x14ac:dyDescent="0.25">
      <c r="A52" s="1"/>
      <c r="B52" s="1"/>
      <c r="C52" s="1"/>
      <c r="D52" s="20"/>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row>
    <row r="53" spans="1:68" x14ac:dyDescent="0.25">
      <c r="A53" s="1"/>
      <c r="B53" s="1"/>
      <c r="C53" s="1"/>
      <c r="D53" s="20"/>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row>
    <row r="54" spans="1:68" x14ac:dyDescent="0.25">
      <c r="A54" s="1"/>
      <c r="B54" s="1"/>
      <c r="C54" s="1"/>
      <c r="D54" s="20"/>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row>
    <row r="55" spans="1:68" x14ac:dyDescent="0.25">
      <c r="A55" s="1"/>
      <c r="B55" s="1"/>
      <c r="C55" s="1"/>
      <c r="D55" s="20"/>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row>
    <row r="56" spans="1:68" x14ac:dyDescent="0.25">
      <c r="A56" s="1"/>
      <c r="B56" s="1"/>
      <c r="C56" s="1"/>
      <c r="D56" s="20"/>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row>
    <row r="57" spans="1:68" x14ac:dyDescent="0.25">
      <c r="A57" s="1"/>
      <c r="B57" s="1"/>
      <c r="C57" s="1"/>
      <c r="D57" s="20"/>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row>
    <row r="58" spans="1:68" x14ac:dyDescent="0.25">
      <c r="A58" s="1"/>
      <c r="B58" s="1"/>
      <c r="C58" s="1"/>
      <c r="D58" s="20"/>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row>
    <row r="59" spans="1:68" x14ac:dyDescent="0.25">
      <c r="A59" s="1"/>
      <c r="B59" s="1"/>
      <c r="C59" s="1"/>
      <c r="D59" s="20"/>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row>
    <row r="60" spans="1:68" x14ac:dyDescent="0.25">
      <c r="A60" s="1"/>
      <c r="B60" s="1"/>
      <c r="C60" s="1"/>
      <c r="D60" s="20"/>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row>
    <row r="61" spans="1:68" x14ac:dyDescent="0.25">
      <c r="A61" s="1"/>
      <c r="B61" s="1"/>
      <c r="C61" s="1"/>
      <c r="D61" s="20"/>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row>
    <row r="62" spans="1:68" x14ac:dyDescent="0.25">
      <c r="A62" s="1"/>
      <c r="B62" s="1"/>
      <c r="C62" s="1"/>
      <c r="D62" s="20"/>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row>
    <row r="63" spans="1:68" x14ac:dyDescent="0.25">
      <c r="A63" s="1"/>
      <c r="B63" s="1"/>
      <c r="C63" s="1"/>
      <c r="D63" s="20"/>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row>
    <row r="64" spans="1:68" x14ac:dyDescent="0.25">
      <c r="A64" s="1"/>
      <c r="B64" s="1"/>
      <c r="C64" s="1"/>
      <c r="D64" s="20"/>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row>
    <row r="65" spans="1:68" x14ac:dyDescent="0.25">
      <c r="A65" s="1"/>
      <c r="B65" s="1"/>
      <c r="C65" s="1"/>
      <c r="D65" s="20"/>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row>
    <row r="66" spans="1:68" x14ac:dyDescent="0.25">
      <c r="A66" s="1"/>
      <c r="B66" s="1"/>
      <c r="C66" s="1"/>
      <c r="D66" s="20"/>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row>
    <row r="67" spans="1:68" x14ac:dyDescent="0.25">
      <c r="A67" s="1"/>
      <c r="B67" s="1"/>
      <c r="C67" s="1"/>
      <c r="D67" s="20"/>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row>
    <row r="68" spans="1:68" x14ac:dyDescent="0.25">
      <c r="A68" s="1"/>
      <c r="B68" s="1"/>
      <c r="C68" s="1"/>
      <c r="D68" s="20"/>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row>
    <row r="69" spans="1:68" x14ac:dyDescent="0.25">
      <c r="A69" s="1"/>
      <c r="B69" s="1"/>
      <c r="C69" s="1"/>
      <c r="D69" s="20"/>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row>
    <row r="70" spans="1:68" x14ac:dyDescent="0.25">
      <c r="A70" s="1"/>
      <c r="B70" s="1"/>
      <c r="C70" s="1"/>
      <c r="D70" s="20"/>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row>
    <row r="71" spans="1:68" x14ac:dyDescent="0.25">
      <c r="A71" s="1"/>
      <c r="B71" s="1"/>
      <c r="C71" s="1"/>
      <c r="D71" s="20"/>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row>
    <row r="72" spans="1:68" x14ac:dyDescent="0.25">
      <c r="A72" s="1"/>
      <c r="B72" s="1"/>
      <c r="C72" s="1"/>
      <c r="D72" s="20"/>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row>
    <row r="73" spans="1:68" x14ac:dyDescent="0.25">
      <c r="A73" s="1"/>
      <c r="B73" s="1"/>
      <c r="C73" s="1"/>
      <c r="D73" s="20"/>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row>
    <row r="74" spans="1:68" x14ac:dyDescent="0.25">
      <c r="A74" s="1"/>
      <c r="B74" s="1"/>
      <c r="C74" s="1"/>
      <c r="D74" s="20"/>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row>
    <row r="75" spans="1:68" x14ac:dyDescent="0.25">
      <c r="A75" s="1"/>
      <c r="B75" s="1"/>
      <c r="C75" s="1"/>
      <c r="D75" s="20"/>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row>
    <row r="76" spans="1:68" x14ac:dyDescent="0.25">
      <c r="A76" s="1"/>
      <c r="B76" s="1"/>
      <c r="C76" s="1"/>
      <c r="D76" s="20"/>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row>
    <row r="77" spans="1:68" x14ac:dyDescent="0.25">
      <c r="A77" s="1"/>
      <c r="B77" s="1"/>
      <c r="C77" s="1"/>
      <c r="D77" s="20"/>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row>
    <row r="78" spans="1:68" x14ac:dyDescent="0.25">
      <c r="A78" s="1"/>
      <c r="B78" s="1"/>
      <c r="C78" s="1"/>
      <c r="D78" s="20"/>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row>
    <row r="79" spans="1:68" x14ac:dyDescent="0.25">
      <c r="A79" s="1"/>
      <c r="B79" s="1"/>
      <c r="C79" s="1"/>
      <c r="D79" s="20"/>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row>
    <row r="80" spans="1:68" x14ac:dyDescent="0.25">
      <c r="A80" s="1"/>
      <c r="B80" s="1"/>
      <c r="C80" s="1"/>
      <c r="D80" s="20"/>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row>
    <row r="81" spans="1:68" x14ac:dyDescent="0.25">
      <c r="A81" s="1"/>
      <c r="B81" s="1"/>
      <c r="C81" s="1"/>
      <c r="D81" s="20"/>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row>
    <row r="82" spans="1:68" x14ac:dyDescent="0.25">
      <c r="A82" s="1"/>
      <c r="B82" s="1"/>
      <c r="C82" s="1"/>
      <c r="D82" s="20"/>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row>
    <row r="83" spans="1:68" x14ac:dyDescent="0.25">
      <c r="A83" s="1"/>
      <c r="B83" s="1"/>
      <c r="C83" s="1"/>
      <c r="D83" s="20"/>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row>
    <row r="84" spans="1:68" x14ac:dyDescent="0.25">
      <c r="A84" s="1"/>
      <c r="B84" s="1"/>
      <c r="C84" s="1"/>
      <c r="D84" s="20"/>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row>
    <row r="85" spans="1:68" x14ac:dyDescent="0.25">
      <c r="A85" s="1"/>
      <c r="B85" s="1"/>
      <c r="C85" s="1"/>
      <c r="D85" s="20"/>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row>
    <row r="86" spans="1:68" x14ac:dyDescent="0.25">
      <c r="A86" s="1"/>
      <c r="B86" s="1"/>
      <c r="C86" s="1"/>
      <c r="D86" s="20"/>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row>
    <row r="87" spans="1:68" x14ac:dyDescent="0.25">
      <c r="A87" s="1"/>
      <c r="B87" s="1"/>
      <c r="C87" s="1"/>
      <c r="D87" s="20"/>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row>
    <row r="88" spans="1:68" x14ac:dyDescent="0.25">
      <c r="A88" s="1"/>
      <c r="B88" s="1"/>
      <c r="C88" s="1"/>
      <c r="D88" s="20"/>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row>
    <row r="89" spans="1:68" x14ac:dyDescent="0.25">
      <c r="A89" s="1"/>
      <c r="B89" s="1"/>
      <c r="C89" s="1"/>
      <c r="D89" s="20"/>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row>
    <row r="90" spans="1:68" x14ac:dyDescent="0.25">
      <c r="A90" s="1"/>
      <c r="B90" s="1"/>
      <c r="C90" s="1"/>
      <c r="D90" s="20"/>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row>
    <row r="91" spans="1:68" x14ac:dyDescent="0.25">
      <c r="A91" s="1"/>
      <c r="B91" s="1"/>
      <c r="C91" s="1"/>
      <c r="D91" s="20"/>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row>
    <row r="92" spans="1:68" x14ac:dyDescent="0.25">
      <c r="A92" s="1"/>
      <c r="B92" s="1"/>
      <c r="C92" s="1"/>
      <c r="D92" s="20"/>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row>
    <row r="93" spans="1:68" x14ac:dyDescent="0.25">
      <c r="A93" s="1"/>
      <c r="B93" s="1"/>
      <c r="C93" s="1"/>
      <c r="D93" s="20"/>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row>
    <row r="94" spans="1:68" x14ac:dyDescent="0.25">
      <c r="A94" s="1"/>
      <c r="B94" s="1"/>
      <c r="C94" s="1"/>
      <c r="D94" s="20"/>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row>
    <row r="95" spans="1:68" x14ac:dyDescent="0.25">
      <c r="A95" s="1"/>
      <c r="B95" s="1"/>
      <c r="C95" s="1"/>
      <c r="D95" s="20"/>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row>
    <row r="96" spans="1:68" x14ac:dyDescent="0.25">
      <c r="A96" s="1"/>
      <c r="B96" s="1"/>
      <c r="C96" s="1"/>
      <c r="D96" s="20"/>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row>
    <row r="97" spans="1:68" x14ac:dyDescent="0.25">
      <c r="A97" s="1"/>
      <c r="B97" s="1"/>
      <c r="C97" s="1"/>
      <c r="D97" s="20"/>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row>
    <row r="98" spans="1:68" x14ac:dyDescent="0.25">
      <c r="A98" s="1"/>
      <c r="B98" s="1"/>
      <c r="C98" s="1"/>
      <c r="D98" s="20"/>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row>
    <row r="99" spans="1:68" x14ac:dyDescent="0.25">
      <c r="A99" s="1"/>
      <c r="B99" s="1"/>
      <c r="C99" s="1"/>
      <c r="D99" s="20"/>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row>
    <row r="100" spans="1:68" x14ac:dyDescent="0.25">
      <c r="A100" s="1"/>
      <c r="B100" s="1"/>
      <c r="C100" s="1"/>
      <c r="D100" s="20"/>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row>
    <row r="101" spans="1:68" x14ac:dyDescent="0.25">
      <c r="A101" s="1"/>
      <c r="B101" s="1"/>
      <c r="C101" s="1"/>
      <c r="D101" s="20"/>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row>
    <row r="102" spans="1:68" x14ac:dyDescent="0.25">
      <c r="A102" s="1"/>
      <c r="B102" s="1"/>
      <c r="C102" s="1"/>
      <c r="D102" s="20"/>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row>
  </sheetData>
  <mergeCells count="90">
    <mergeCell ref="A28:I28"/>
    <mergeCell ref="A13:A22"/>
    <mergeCell ref="B14:B20"/>
    <mergeCell ref="B21:B22"/>
    <mergeCell ref="C21:C22"/>
    <mergeCell ref="A23:A27"/>
    <mergeCell ref="B24:B27"/>
    <mergeCell ref="C24:C27"/>
    <mergeCell ref="BL4:BL5"/>
    <mergeCell ref="BM4:BM5"/>
    <mergeCell ref="A6:A12"/>
    <mergeCell ref="B7"/>
    <mergeCell ref="B8:B10"/>
    <mergeCell ref="B11:B12"/>
    <mergeCell ref="BG4:BG5"/>
    <mergeCell ref="BH4:BH5"/>
    <mergeCell ref="BI4:BI5"/>
    <mergeCell ref="BJ4:BJ5"/>
    <mergeCell ref="BK4:BK5"/>
    <mergeCell ref="BA4:BA5"/>
    <mergeCell ref="BB4:BB5"/>
    <mergeCell ref="BC4:BC5"/>
    <mergeCell ref="BD4:BD5"/>
    <mergeCell ref="BF4:BF5"/>
    <mergeCell ref="AU4:AU5"/>
    <mergeCell ref="AW4:AW5"/>
    <mergeCell ref="AX4:AX5"/>
    <mergeCell ref="AY4:AY5"/>
    <mergeCell ref="AZ4:AZ5"/>
    <mergeCell ref="AP4:AP5"/>
    <mergeCell ref="AQ4:AQ5"/>
    <mergeCell ref="AR4:AR5"/>
    <mergeCell ref="AS4:AS5"/>
    <mergeCell ref="AT4:AT5"/>
    <mergeCell ref="AJ4:AJ5"/>
    <mergeCell ref="AK4:AK5"/>
    <mergeCell ref="AL4:AL5"/>
    <mergeCell ref="AN4:AN5"/>
    <mergeCell ref="AO4:AO5"/>
    <mergeCell ref="AE4:AE5"/>
    <mergeCell ref="AF4:AF5"/>
    <mergeCell ref="AG4:AG5"/>
    <mergeCell ref="AH4:AH5"/>
    <mergeCell ref="AI4:AI5"/>
    <mergeCell ref="Y4:Y5"/>
    <mergeCell ref="Z4:Z5"/>
    <mergeCell ref="AA4:AA5"/>
    <mergeCell ref="AB4:AB5"/>
    <mergeCell ref="AC4:AC5"/>
    <mergeCell ref="T4:T5"/>
    <mergeCell ref="U4:U5"/>
    <mergeCell ref="V4:V5"/>
    <mergeCell ref="W4:W5"/>
    <mergeCell ref="X4:X5"/>
    <mergeCell ref="O4:O5"/>
    <mergeCell ref="P4:P5"/>
    <mergeCell ref="Q4:Q5"/>
    <mergeCell ref="R4:R5"/>
    <mergeCell ref="S4:S5"/>
    <mergeCell ref="J4:J5"/>
    <mergeCell ref="K4:K5"/>
    <mergeCell ref="L4:L5"/>
    <mergeCell ref="M4:M5"/>
    <mergeCell ref="N4:N5"/>
    <mergeCell ref="E4:E5"/>
    <mergeCell ref="F4:F5"/>
    <mergeCell ref="G4:G5"/>
    <mergeCell ref="H4:H5"/>
    <mergeCell ref="I4:I5"/>
    <mergeCell ref="O3:Q3"/>
    <mergeCell ref="R3:T3"/>
    <mergeCell ref="U3:W3"/>
    <mergeCell ref="X3:Z3"/>
    <mergeCell ref="AA3:AC3"/>
    <mergeCell ref="A1:BM1"/>
    <mergeCell ref="O2:AC2"/>
    <mergeCell ref="E2:I3"/>
    <mergeCell ref="J2:N3"/>
    <mergeCell ref="AE2:AL3"/>
    <mergeCell ref="AN2:AU3"/>
    <mergeCell ref="AW2:BD3"/>
    <mergeCell ref="BF2:BM3"/>
    <mergeCell ref="A2:A5"/>
    <mergeCell ref="B2:B5"/>
    <mergeCell ref="C2:C5"/>
    <mergeCell ref="D2:D5"/>
    <mergeCell ref="AD2:AD28"/>
    <mergeCell ref="AM2:AM28"/>
    <mergeCell ref="AV2:AV28"/>
    <mergeCell ref="BE2:BE28"/>
  </mergeCells>
  <pageMargins left="0.7" right="0.7" top="0.75" bottom="0.75" header="0.3" footer="0.3"/>
  <pageSetup paperSize="9" fitToWidth="0"/>
  <extLst>
    <ext uri="smNativeData">
      <pm:sheetPrefs xmlns:pm="smNativeData" day="1698359497" outlineProtect="1" showHorizontalRuler="1" showVerticalRuler="1" showAltShade="0">
        <pm:shade id="0" type="0" fgLvl="100" fgClr="000000" bgLvl="100" bgClr="FFFFFF"/>
        <pm:shade id="1" type="0" fgLvl="100" fgClr="000000" bgLvl="100" bgClr="FFFFFF"/>
      </pm:sheetPref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IPA III 2024-2027 Actions</vt:lpstr>
      <vt:lpstr>AF</vt:lpstr>
      <vt:lpstr>SOP without reserve projects</vt:lpstr>
      <vt:lpstr>Financial table for OP</vt:lpstr>
      <vt:lpstr>Cross-check</vt:lpstr>
      <vt:lpstr>AF!Print_Area</vt:lpstr>
      <vt:lpstr>'IPA III 2024-2027 Actions'!Print_Area</vt:lpstr>
      <vt:lpstr>'SOP without reserve projects'!Print_Area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Slavkoska</dc:creator>
  <cp:keywords/>
  <dc:description/>
  <cp:lastModifiedBy>Kalina Markovic Ilic</cp:lastModifiedBy>
  <cp:revision>0</cp:revision>
  <cp:lastPrinted>2023-04-11T13:12:36Z</cp:lastPrinted>
  <dcterms:created xsi:type="dcterms:W3CDTF">2022-08-19T08:03:36Z</dcterms:created>
  <dcterms:modified xsi:type="dcterms:W3CDTF">2023-11-10T15:32:46Z</dcterms:modified>
</cp:coreProperties>
</file>